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7 місяців 2024" sheetId="23" r:id="rId1"/>
  </sheets>
  <definedNames>
    <definedName name="_xlnm.Print_Titles" localSheetId="0">'7 місяців 2024'!$3:$5</definedName>
    <definedName name="_xlnm.Print_Area" localSheetId="0">'7 місяців 2024'!$A$1:$W$124</definedName>
  </definedNames>
  <calcPr calcId="162913"/>
</workbook>
</file>

<file path=xl/calcChain.xml><?xml version="1.0" encoding="utf-8"?>
<calcChain xmlns="http://schemas.openxmlformats.org/spreadsheetml/2006/main">
  <c r="W64" i="23" l="1"/>
  <c r="O66" i="23"/>
  <c r="W61" i="23"/>
  <c r="W60" i="23"/>
  <c r="W59" i="23"/>
  <c r="F66" i="23" l="1"/>
  <c r="S44" i="23"/>
  <c r="T44" i="23"/>
  <c r="P44" i="23"/>
  <c r="M81" i="23"/>
  <c r="M80" i="23"/>
  <c r="M73" i="23"/>
  <c r="N81" i="23" l="1"/>
  <c r="H81" i="23"/>
  <c r="I81" i="23"/>
  <c r="J81" i="23"/>
  <c r="K81" i="23"/>
  <c r="L81" i="23"/>
  <c r="G81" i="23"/>
  <c r="N53" i="23"/>
  <c r="J5" i="23"/>
  <c r="K5" i="23"/>
  <c r="L5" i="23"/>
  <c r="M5" i="23"/>
  <c r="O5" i="23"/>
  <c r="Q136" i="23"/>
  <c r="Q134" i="23"/>
  <c r="Q96" i="23"/>
  <c r="Q95" i="23"/>
  <c r="Q94" i="23"/>
  <c r="Q93" i="23"/>
  <c r="Q91" i="23"/>
  <c r="Q90" i="23"/>
  <c r="Q87" i="23"/>
  <c r="Q63" i="23"/>
  <c r="Q64" i="23"/>
  <c r="Q65" i="23"/>
  <c r="Q66" i="23"/>
  <c r="R66" i="23"/>
  <c r="P59" i="23"/>
  <c r="Q59" i="23"/>
  <c r="R59" i="23" s="1"/>
  <c r="O60" i="23"/>
  <c r="P60" i="23"/>
  <c r="Q60" i="23"/>
  <c r="P61" i="23"/>
  <c r="Q61" i="23"/>
  <c r="R61" i="23" s="1"/>
  <c r="T61" i="23"/>
  <c r="Q53" i="23"/>
  <c r="L53" i="23"/>
  <c r="K53" i="23"/>
  <c r="J53" i="23"/>
  <c r="I53" i="23"/>
  <c r="G53" i="23"/>
  <c r="E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7" i="23"/>
  <c r="E81" i="23"/>
  <c r="E73" i="23"/>
  <c r="F59" i="23"/>
  <c r="T59" i="23" s="1"/>
  <c r="F60" i="23"/>
  <c r="T60" i="23" s="1"/>
  <c r="F61" i="23"/>
  <c r="O61" i="23" s="1"/>
  <c r="R60" i="23" l="1"/>
  <c r="O59" i="23"/>
  <c r="S61" i="23"/>
  <c r="S60" i="23"/>
  <c r="S59" i="23"/>
  <c r="D118" i="23" l="1"/>
  <c r="D117" i="23"/>
  <c r="A59" i="23"/>
  <c r="A60" i="23" s="1"/>
  <c r="A61" i="23" s="1"/>
  <c r="A62" i="23" s="1"/>
  <c r="A63" i="23" s="1"/>
  <c r="A64" i="23" s="1"/>
  <c r="A65" i="23" s="1"/>
  <c r="A66" i="23" s="1"/>
  <c r="A67" i="23" s="1"/>
  <c r="V66" i="23"/>
  <c r="V61" i="23"/>
  <c r="V60" i="23"/>
  <c r="V59" i="23"/>
  <c r="F7" i="23" l="1"/>
  <c r="L119" i="23" l="1"/>
  <c r="L118" i="23"/>
  <c r="L117" i="23"/>
  <c r="L115" i="23"/>
  <c r="L114" i="23"/>
  <c r="L108" i="23"/>
  <c r="L105" i="23"/>
  <c r="L104" i="23"/>
  <c r="L103" i="23"/>
  <c r="L102" i="23"/>
  <c r="L101" i="23" s="1"/>
  <c r="L92" i="23"/>
  <c r="L86" i="23"/>
  <c r="L97" i="23" s="1"/>
  <c r="L80" i="23"/>
  <c r="L79" i="23" s="1"/>
  <c r="L75" i="23" s="1"/>
  <c r="L78" i="23"/>
  <c r="L67" i="23"/>
  <c r="L39" i="23"/>
  <c r="L24" i="23"/>
  <c r="L20" i="23"/>
  <c r="L17" i="23"/>
  <c r="L16" i="23"/>
  <c r="L11" i="23"/>
  <c r="L54" i="23" s="1"/>
  <c r="L9" i="23"/>
  <c r="L116" i="23" l="1"/>
  <c r="L113" i="23" s="1"/>
  <c r="L121" i="23" s="1"/>
  <c r="L122" i="23" s="1"/>
  <c r="L109" i="23"/>
  <c r="L106" i="23"/>
  <c r="L83" i="23"/>
  <c r="L84" i="23" s="1"/>
  <c r="U78" i="23"/>
  <c r="A56" i="23" l="1"/>
  <c r="A57" i="23" s="1"/>
  <c r="A58" i="23" s="1"/>
  <c r="Q56" i="23"/>
  <c r="E80" i="23"/>
  <c r="D80" i="23"/>
  <c r="G80" i="23"/>
  <c r="H80" i="23"/>
  <c r="I80" i="23"/>
  <c r="J80" i="23"/>
  <c r="K80" i="23"/>
  <c r="N80" i="23"/>
  <c r="M67" i="23"/>
  <c r="F56" i="23"/>
  <c r="K114" i="23"/>
  <c r="K105" i="23"/>
  <c r="K119" i="23" s="1"/>
  <c r="K104" i="23"/>
  <c r="K118" i="23" s="1"/>
  <c r="K103" i="23"/>
  <c r="K92" i="23"/>
  <c r="K86" i="23"/>
  <c r="K97" i="23" s="1"/>
  <c r="K78" i="23"/>
  <c r="K115" i="23" s="1"/>
  <c r="K67" i="23"/>
  <c r="K79" i="23" s="1"/>
  <c r="K75" i="23" s="1"/>
  <c r="K39" i="23"/>
  <c r="K24" i="23"/>
  <c r="K20" i="23"/>
  <c r="K17" i="23"/>
  <c r="K11" i="23"/>
  <c r="K9" i="23"/>
  <c r="T56" i="23" l="1"/>
  <c r="V56" i="23"/>
  <c r="O56" i="23"/>
  <c r="K102" i="23"/>
  <c r="K101" i="23" s="1"/>
  <c r="P56" i="23"/>
  <c r="S56" i="23"/>
  <c r="K16" i="23"/>
  <c r="K117" i="23"/>
  <c r="K116" i="23" s="1"/>
  <c r="K113" i="23" s="1"/>
  <c r="R56" i="23"/>
  <c r="K106" i="23"/>
  <c r="F44" i="23"/>
  <c r="K54" i="23" l="1"/>
  <c r="K108" i="23"/>
  <c r="K109" i="23" s="1"/>
  <c r="K83" i="23"/>
  <c r="K84" i="23" s="1"/>
  <c r="J114" i="23"/>
  <c r="J105" i="23"/>
  <c r="J104" i="23"/>
  <c r="J103" i="23"/>
  <c r="J92" i="23"/>
  <c r="J86" i="23"/>
  <c r="J97" i="23" s="1"/>
  <c r="J78" i="23"/>
  <c r="J115" i="23" s="1"/>
  <c r="J73" i="23"/>
  <c r="J67" i="23"/>
  <c r="J79" i="23" s="1"/>
  <c r="J39" i="23"/>
  <c r="J24" i="23"/>
  <c r="J20" i="23"/>
  <c r="J17" i="23"/>
  <c r="J11" i="23"/>
  <c r="J9" i="23"/>
  <c r="J75" i="23" l="1"/>
  <c r="K121" i="23"/>
  <c r="K122" i="23" s="1"/>
  <c r="J16" i="23"/>
  <c r="J102" i="23"/>
  <c r="J101" i="23" s="1"/>
  <c r="J106" i="23" s="1"/>
  <c r="J117" i="23"/>
  <c r="J118" i="23"/>
  <c r="J119" i="23"/>
  <c r="J83" i="23" l="1"/>
  <c r="J84" i="23" s="1"/>
  <c r="J116" i="23"/>
  <c r="J113" i="23" s="1"/>
  <c r="J54" i="23"/>
  <c r="J108" i="23"/>
  <c r="O44" i="23"/>
  <c r="V44" i="23"/>
  <c r="R44" i="23"/>
  <c r="J121" i="23" l="1"/>
  <c r="J122" i="23" s="1"/>
  <c r="J109" i="23"/>
  <c r="Q55" i="23" l="1"/>
  <c r="F64" i="23"/>
  <c r="F65" i="23"/>
  <c r="Q71" i="23"/>
  <c r="F71" i="23"/>
  <c r="V71" i="23" s="1"/>
  <c r="V65" i="23" l="1"/>
  <c r="P65" i="23"/>
  <c r="T65" i="23"/>
  <c r="S65" i="23"/>
  <c r="R65" i="23"/>
  <c r="T64" i="23"/>
  <c r="P64" i="23"/>
  <c r="S64" i="23"/>
  <c r="R64" i="23"/>
  <c r="O71" i="23"/>
  <c r="O64" i="23"/>
  <c r="R71" i="23"/>
  <c r="O65" i="23"/>
  <c r="I114" i="23"/>
  <c r="I105" i="23"/>
  <c r="I119" i="23" s="1"/>
  <c r="I104" i="23"/>
  <c r="I103" i="23"/>
  <c r="I102" i="23" s="1"/>
  <c r="I92" i="23"/>
  <c r="I86" i="23"/>
  <c r="I97" i="23" s="1"/>
  <c r="I78" i="23"/>
  <c r="I115" i="23" s="1"/>
  <c r="I67" i="23"/>
  <c r="I39" i="23"/>
  <c r="I24" i="23"/>
  <c r="I20" i="23"/>
  <c r="I17" i="23"/>
  <c r="I11" i="23"/>
  <c r="I9" i="23"/>
  <c r="I101" i="23" l="1"/>
  <c r="I117" i="23"/>
  <c r="I106" i="23"/>
  <c r="I16" i="23"/>
  <c r="I79" i="23"/>
  <c r="I75" i="23" s="1"/>
  <c r="I118" i="23"/>
  <c r="Q100" i="23"/>
  <c r="Q105" i="23" s="1"/>
  <c r="Q119" i="23" s="1"/>
  <c r="N105" i="23"/>
  <c r="N119" i="23" s="1"/>
  <c r="E105" i="23"/>
  <c r="E119" i="23" s="1"/>
  <c r="U119" i="23"/>
  <c r="G105" i="23"/>
  <c r="G119" i="23" s="1"/>
  <c r="N104" i="23"/>
  <c r="M105" i="23"/>
  <c r="M119" i="23" s="1"/>
  <c r="H105" i="23"/>
  <c r="D105" i="23"/>
  <c r="D119" i="23" s="1"/>
  <c r="F100" i="23"/>
  <c r="I116" i="23" l="1"/>
  <c r="I113" i="23" s="1"/>
  <c r="I83" i="23"/>
  <c r="I84" i="23" s="1"/>
  <c r="I54" i="23"/>
  <c r="I108" i="23"/>
  <c r="I109" i="23" s="1"/>
  <c r="F105" i="23"/>
  <c r="P105" i="23" s="1"/>
  <c r="H119" i="23"/>
  <c r="F119" i="23" s="1"/>
  <c r="O119" i="23" s="1"/>
  <c r="S100" i="23"/>
  <c r="T100" i="23"/>
  <c r="O100" i="23"/>
  <c r="V100" i="23"/>
  <c r="P100" i="23"/>
  <c r="R100" i="23"/>
  <c r="I121" i="23" l="1"/>
  <c r="I122" i="23" s="1"/>
  <c r="R105" i="23"/>
  <c r="S105" i="23"/>
  <c r="T105" i="23"/>
  <c r="O105" i="23"/>
  <c r="V105" i="23"/>
  <c r="R119" i="23"/>
  <c r="V119" i="23"/>
  <c r="P119" i="23"/>
  <c r="S119" i="23"/>
  <c r="T119" i="23"/>
  <c r="Q73" i="23" l="1"/>
  <c r="F73" i="23"/>
  <c r="F74" i="23"/>
  <c r="Q74" i="23"/>
  <c r="E49" i="23"/>
  <c r="E67" i="23"/>
  <c r="F55" i="23"/>
  <c r="W55" i="23" s="1"/>
  <c r="F57" i="23"/>
  <c r="H114" i="23"/>
  <c r="H104" i="23"/>
  <c r="H103" i="23"/>
  <c r="H92" i="23"/>
  <c r="H86" i="23"/>
  <c r="H97" i="23" s="1"/>
  <c r="H78" i="23"/>
  <c r="H115" i="23" s="1"/>
  <c r="H67" i="23"/>
  <c r="H39" i="23"/>
  <c r="H24" i="23"/>
  <c r="H20" i="23"/>
  <c r="H17" i="23"/>
  <c r="H11" i="23"/>
  <c r="H9" i="23"/>
  <c r="U77" i="23"/>
  <c r="V64" i="23"/>
  <c r="O73" i="23" l="1"/>
  <c r="W73" i="23"/>
  <c r="H16" i="23"/>
  <c r="H53" i="23" s="1"/>
  <c r="R55" i="23"/>
  <c r="H102" i="23"/>
  <c r="H101" i="23" s="1"/>
  <c r="H106" i="23" s="1"/>
  <c r="R74" i="23"/>
  <c r="H79" i="23"/>
  <c r="H75" i="23" s="1"/>
  <c r="V74" i="23"/>
  <c r="T74" i="23"/>
  <c r="P74" i="23"/>
  <c r="S74" i="23"/>
  <c r="O74" i="23"/>
  <c r="O55" i="23"/>
  <c r="T73" i="23"/>
  <c r="S73" i="23"/>
  <c r="V73" i="23"/>
  <c r="R73" i="23"/>
  <c r="P73" i="23"/>
  <c r="H117" i="23"/>
  <c r="V55" i="23"/>
  <c r="H118" i="23"/>
  <c r="H83" i="23" l="1"/>
  <c r="H84" i="23" s="1"/>
  <c r="H116" i="23"/>
  <c r="H113" i="23" s="1"/>
  <c r="H108" i="23"/>
  <c r="H54" i="23"/>
  <c r="H121" i="23" l="1"/>
  <c r="H122" i="23" s="1"/>
  <c r="H109" i="23"/>
  <c r="D78" i="23"/>
  <c r="M104" i="23"/>
  <c r="G104" i="23"/>
  <c r="Q99" i="23"/>
  <c r="Q104" i="23" s="1"/>
  <c r="F89" i="23"/>
  <c r="O89" i="23" s="1"/>
  <c r="A90" i="23"/>
  <c r="M78" i="23"/>
  <c r="M115" i="23" s="1"/>
  <c r="N78" i="23"/>
  <c r="G78" i="23"/>
  <c r="M114" i="23"/>
  <c r="M103" i="23"/>
  <c r="M92" i="23"/>
  <c r="M86" i="23"/>
  <c r="M97" i="23" s="1"/>
  <c r="Q58" i="23"/>
  <c r="Q78" i="23" s="1"/>
  <c r="M39" i="23"/>
  <c r="M24" i="23"/>
  <c r="M20" i="23"/>
  <c r="M17" i="23"/>
  <c r="M11" i="23"/>
  <c r="M9" i="23"/>
  <c r="M102" i="23" l="1"/>
  <c r="M101" i="23" s="1"/>
  <c r="M106" i="23" s="1"/>
  <c r="R89" i="23"/>
  <c r="V89" i="23"/>
  <c r="M118" i="23"/>
  <c r="M117" i="23"/>
  <c r="M79" i="23"/>
  <c r="M75" i="23" s="1"/>
  <c r="M16" i="23"/>
  <c r="M53" i="23" s="1"/>
  <c r="M108" i="23" l="1"/>
  <c r="M109" i="23" s="1"/>
  <c r="M116" i="23"/>
  <c r="M113" i="23" s="1"/>
  <c r="F112" i="23"/>
  <c r="F111" i="23"/>
  <c r="F104" i="23"/>
  <c r="F99" i="23"/>
  <c r="V99" i="23" s="1"/>
  <c r="F98" i="23"/>
  <c r="W98" i="23" s="1"/>
  <c r="F96" i="23"/>
  <c r="F95" i="23"/>
  <c r="F94" i="23"/>
  <c r="F93" i="23"/>
  <c r="F91" i="23"/>
  <c r="F90" i="23"/>
  <c r="F88" i="23"/>
  <c r="F87" i="23"/>
  <c r="F80" i="23"/>
  <c r="F78" i="23"/>
  <c r="W78" i="23" s="1"/>
  <c r="F77" i="23"/>
  <c r="F72" i="23"/>
  <c r="F70" i="23"/>
  <c r="W70" i="23" s="1"/>
  <c r="F69" i="23"/>
  <c r="W69" i="23" s="1"/>
  <c r="F68" i="23"/>
  <c r="W68" i="23" s="1"/>
  <c r="F63" i="23"/>
  <c r="F62" i="23"/>
  <c r="F58" i="23"/>
  <c r="W58" i="23" s="1"/>
  <c r="F52" i="23"/>
  <c r="F51" i="23"/>
  <c r="P51" i="23" s="1"/>
  <c r="F50" i="23"/>
  <c r="F49" i="23"/>
  <c r="F48" i="23"/>
  <c r="W48" i="23" s="1"/>
  <c r="F47" i="23"/>
  <c r="F46" i="23"/>
  <c r="F45" i="23"/>
  <c r="F43" i="23"/>
  <c r="F42" i="23"/>
  <c r="F41" i="23"/>
  <c r="F40" i="23"/>
  <c r="F38" i="23"/>
  <c r="F37" i="23"/>
  <c r="F36" i="23"/>
  <c r="F35" i="23"/>
  <c r="P35" i="23" s="1"/>
  <c r="F34" i="23"/>
  <c r="F33" i="23"/>
  <c r="P33" i="23" s="1"/>
  <c r="F32" i="23"/>
  <c r="P32" i="23" s="1"/>
  <c r="F31" i="23"/>
  <c r="F30" i="23"/>
  <c r="F29" i="23"/>
  <c r="F28" i="23"/>
  <c r="F27" i="23"/>
  <c r="F26" i="23"/>
  <c r="F25" i="23"/>
  <c r="F23" i="23"/>
  <c r="W23" i="23" s="1"/>
  <c r="F22" i="23"/>
  <c r="F21" i="23"/>
  <c r="F19" i="23"/>
  <c r="F18" i="23"/>
  <c r="F15" i="23"/>
  <c r="P15" i="23" s="1"/>
  <c r="F14" i="23"/>
  <c r="F13" i="23"/>
  <c r="F12" i="23"/>
  <c r="P12" i="23" s="1"/>
  <c r="F10" i="23"/>
  <c r="W10" i="23" s="1"/>
  <c r="E104" i="23"/>
  <c r="A99" i="23"/>
  <c r="E78" i="23"/>
  <c r="U9" i="23"/>
  <c r="P63" i="23" l="1"/>
  <c r="T63" i="23"/>
  <c r="R63" i="23"/>
  <c r="S63" i="23"/>
  <c r="V77" i="23"/>
  <c r="W77" i="23"/>
  <c r="P91" i="23"/>
  <c r="T91" i="23"/>
  <c r="P94" i="23"/>
  <c r="W94" i="23"/>
  <c r="S93" i="23"/>
  <c r="T93" i="23"/>
  <c r="P93" i="23"/>
  <c r="O63" i="23"/>
  <c r="V58" i="23"/>
  <c r="T58" i="23"/>
  <c r="M83" i="23"/>
  <c r="M84" i="23" s="1"/>
  <c r="M54" i="23"/>
  <c r="W31" i="23"/>
  <c r="P31" i="23"/>
  <c r="S99" i="23"/>
  <c r="T99" i="23"/>
  <c r="P99" i="23"/>
  <c r="O99" i="23"/>
  <c r="R99" i="23"/>
  <c r="S104" i="23"/>
  <c r="T104" i="23"/>
  <c r="P104" i="23"/>
  <c r="M121" i="23"/>
  <c r="M122" i="23" s="1"/>
  <c r="V78" i="23"/>
  <c r="O78" i="23"/>
  <c r="P78" i="23"/>
  <c r="T78" i="23"/>
  <c r="S78" i="23"/>
  <c r="P13" i="23"/>
  <c r="W13" i="23"/>
  <c r="P72" i="23"/>
  <c r="P58" i="23"/>
  <c r="O58" i="23"/>
  <c r="R58" i="23"/>
  <c r="S58" i="23"/>
  <c r="V23" i="23" l="1"/>
  <c r="U115" i="23"/>
  <c r="Q115" i="23"/>
  <c r="N115" i="23"/>
  <c r="G115" i="23"/>
  <c r="F115" i="23" s="1"/>
  <c r="W115" i="23" s="1"/>
  <c r="E115" i="23"/>
  <c r="D115" i="23"/>
  <c r="U114" i="23"/>
  <c r="Q114" i="23"/>
  <c r="N114" i="23"/>
  <c r="G114" i="23"/>
  <c r="E114" i="23"/>
  <c r="D114" i="23"/>
  <c r="V104" i="23"/>
  <c r="U103" i="23"/>
  <c r="U102" i="23" s="1"/>
  <c r="U101" i="23" s="1"/>
  <c r="N103" i="23"/>
  <c r="N102" i="23" s="1"/>
  <c r="N101" i="23" s="1"/>
  <c r="G103" i="23"/>
  <c r="E103" i="23"/>
  <c r="E102" i="23" s="1"/>
  <c r="E101" i="23" s="1"/>
  <c r="D103" i="23"/>
  <c r="D102" i="23" s="1"/>
  <c r="D101" i="23" s="1"/>
  <c r="Q98" i="23"/>
  <c r="Q103" i="23" s="1"/>
  <c r="Q102" i="23" s="1"/>
  <c r="Q101" i="23" s="1"/>
  <c r="T98" i="23"/>
  <c r="W96" i="23"/>
  <c r="O94" i="23"/>
  <c r="O93" i="23"/>
  <c r="U92" i="23"/>
  <c r="N92" i="23"/>
  <c r="G92" i="23"/>
  <c r="F92" i="23" s="1"/>
  <c r="E92" i="23"/>
  <c r="D92" i="23"/>
  <c r="V91" i="23"/>
  <c r="A91" i="23"/>
  <c r="A92" i="23" s="1"/>
  <c r="O90" i="23"/>
  <c r="V88" i="23"/>
  <c r="Q86" i="23"/>
  <c r="Q97" i="23" s="1"/>
  <c r="T87" i="23"/>
  <c r="U86" i="23"/>
  <c r="U97" i="23" s="1"/>
  <c r="N86" i="23"/>
  <c r="N97" i="23" s="1"/>
  <c r="G86" i="23"/>
  <c r="G97" i="23" s="1"/>
  <c r="E86" i="23"/>
  <c r="E97" i="23" s="1"/>
  <c r="Q138" i="23" s="1"/>
  <c r="D86" i="23"/>
  <c r="U80" i="23"/>
  <c r="R78" i="23"/>
  <c r="R77" i="23"/>
  <c r="Q72" i="23"/>
  <c r="S72" i="23" s="1"/>
  <c r="T72" i="23"/>
  <c r="Q70" i="23"/>
  <c r="Q69" i="23"/>
  <c r="T69" i="23"/>
  <c r="Q68" i="23"/>
  <c r="V68" i="23"/>
  <c r="U67" i="23"/>
  <c r="U81" i="23" s="1"/>
  <c r="N67" i="23"/>
  <c r="G67" i="23"/>
  <c r="D67" i="23"/>
  <c r="D81" i="23" s="1"/>
  <c r="Q62" i="23"/>
  <c r="T62" i="23"/>
  <c r="Q57" i="23"/>
  <c r="Q80" i="23" s="1"/>
  <c r="T57" i="23"/>
  <c r="AB53" i="23"/>
  <c r="T52" i="23"/>
  <c r="V51" i="23"/>
  <c r="T50" i="23"/>
  <c r="V48" i="23"/>
  <c r="T46" i="23"/>
  <c r="A46" i="23"/>
  <c r="A47" i="23" s="1"/>
  <c r="A48" i="23" s="1"/>
  <c r="A49" i="23" s="1"/>
  <c r="A50" i="23" s="1"/>
  <c r="A51" i="23" s="1"/>
  <c r="A52" i="23" s="1"/>
  <c r="V45" i="23"/>
  <c r="V42" i="23"/>
  <c r="P41" i="23"/>
  <c r="U39" i="23"/>
  <c r="N39" i="23"/>
  <c r="G39" i="23"/>
  <c r="F39" i="23" s="1"/>
  <c r="E39" i="23"/>
  <c r="D39" i="23"/>
  <c r="T38" i="23"/>
  <c r="W35" i="23"/>
  <c r="T34" i="23"/>
  <c r="V33" i="23"/>
  <c r="V32" i="23"/>
  <c r="O31" i="23"/>
  <c r="A31" i="23"/>
  <c r="A32" i="23" s="1"/>
  <c r="A33" i="23" s="1"/>
  <c r="A34" i="23" s="1"/>
  <c r="A35" i="23" s="1"/>
  <c r="A36" i="23" s="1"/>
  <c r="A37" i="23" s="1"/>
  <c r="A38" i="23" s="1"/>
  <c r="A39" i="23" s="1"/>
  <c r="T29" i="23"/>
  <c r="T28" i="23"/>
  <c r="E27" i="23"/>
  <c r="D27" i="23"/>
  <c r="V26" i="23"/>
  <c r="E26" i="23"/>
  <c r="D26" i="23"/>
  <c r="V25" i="23"/>
  <c r="E25" i="23"/>
  <c r="D25" i="23"/>
  <c r="X24" i="23"/>
  <c r="U24" i="23"/>
  <c r="N24" i="23"/>
  <c r="G24" i="23"/>
  <c r="F24" i="23" s="1"/>
  <c r="V21" i="23"/>
  <c r="U20" i="23"/>
  <c r="N20" i="23"/>
  <c r="G20" i="23"/>
  <c r="F20" i="23" s="1"/>
  <c r="E20" i="23"/>
  <c r="D20" i="23"/>
  <c r="T19" i="23"/>
  <c r="X18" i="23"/>
  <c r="P18" i="23"/>
  <c r="U17" i="23"/>
  <c r="N17" i="23"/>
  <c r="G17" i="23"/>
  <c r="F17" i="23" s="1"/>
  <c r="E17" i="23"/>
  <c r="D17" i="23"/>
  <c r="T13" i="23"/>
  <c r="O12" i="23"/>
  <c r="U11" i="23"/>
  <c r="N11" i="23"/>
  <c r="G11" i="23"/>
  <c r="E11" i="23"/>
  <c r="D11" i="23"/>
  <c r="Z10" i="23"/>
  <c r="AA10" i="23" s="1"/>
  <c r="A10" i="23"/>
  <c r="N9" i="23"/>
  <c r="G9" i="23"/>
  <c r="F9" i="23" s="1"/>
  <c r="E9" i="23"/>
  <c r="Q9" i="23" s="1"/>
  <c r="D9" i="23"/>
  <c r="W8" i="23"/>
  <c r="V8" i="23"/>
  <c r="AA7" i="23"/>
  <c r="Z7" i="23"/>
  <c r="C5" i="23"/>
  <c r="D5" i="23" s="1"/>
  <c r="E5" i="23" s="1"/>
  <c r="F5" i="23" s="1"/>
  <c r="G5" i="23" s="1"/>
  <c r="H5" i="23" s="1"/>
  <c r="I5" i="23" s="1"/>
  <c r="F11" i="23" l="1"/>
  <c r="W11" i="23" s="1"/>
  <c r="P5" i="23"/>
  <c r="Q5" i="23" s="1"/>
  <c r="R5" i="23" s="1"/>
  <c r="S5" i="23" s="1"/>
  <c r="D97" i="23"/>
  <c r="D106" i="23" s="1"/>
  <c r="F114" i="23"/>
  <c r="O114" i="23" s="1"/>
  <c r="Q106" i="23"/>
  <c r="N106" i="23"/>
  <c r="T115" i="23"/>
  <c r="S115" i="23"/>
  <c r="P115" i="23"/>
  <c r="E106" i="23"/>
  <c r="G102" i="23"/>
  <c r="G101" i="23" s="1"/>
  <c r="G106" i="23" s="1"/>
  <c r="F106" i="23" s="1"/>
  <c r="F103" i="23"/>
  <c r="G118" i="23"/>
  <c r="F118" i="23" s="1"/>
  <c r="F67" i="23"/>
  <c r="V67" i="23" s="1"/>
  <c r="E117" i="23"/>
  <c r="F86" i="23"/>
  <c r="R86" i="23" s="1"/>
  <c r="U118" i="23"/>
  <c r="N79" i="23"/>
  <c r="N75" i="23" s="1"/>
  <c r="O23" i="23"/>
  <c r="E118" i="23"/>
  <c r="T37" i="23"/>
  <c r="W37" i="23"/>
  <c r="R23" i="23"/>
  <c r="R36" i="23"/>
  <c r="R47" i="23"/>
  <c r="R48" i="23"/>
  <c r="T48" i="23"/>
  <c r="S50" i="23"/>
  <c r="V52" i="23"/>
  <c r="D116" i="23"/>
  <c r="D113" i="23" s="1"/>
  <c r="V50" i="23"/>
  <c r="O20" i="23"/>
  <c r="S40" i="23"/>
  <c r="R43" i="23"/>
  <c r="S95" i="23"/>
  <c r="S14" i="23"/>
  <c r="S25" i="23"/>
  <c r="S27" i="23"/>
  <c r="P50" i="23"/>
  <c r="R52" i="23"/>
  <c r="R49" i="23"/>
  <c r="Q117" i="23"/>
  <c r="N16" i="23"/>
  <c r="V34" i="23"/>
  <c r="R35" i="23"/>
  <c r="V31" i="23"/>
  <c r="O34" i="23"/>
  <c r="T35" i="23"/>
  <c r="V41" i="23"/>
  <c r="P57" i="23"/>
  <c r="R69" i="23"/>
  <c r="V90" i="23"/>
  <c r="T31" i="23"/>
  <c r="T41" i="23"/>
  <c r="S7" i="23"/>
  <c r="U16" i="23"/>
  <c r="U53" i="23" s="1"/>
  <c r="P34" i="23"/>
  <c r="S69" i="23"/>
  <c r="R90" i="23"/>
  <c r="S13" i="23"/>
  <c r="S34" i="23"/>
  <c r="W57" i="23"/>
  <c r="R91" i="23"/>
  <c r="S10" i="23"/>
  <c r="R15" i="23"/>
  <c r="D16" i="23"/>
  <c r="Y24" i="23"/>
  <c r="W25" i="23"/>
  <c r="T32" i="23"/>
  <c r="O48" i="23"/>
  <c r="O50" i="23"/>
  <c r="V94" i="23"/>
  <c r="R104" i="23"/>
  <c r="P19" i="23"/>
  <c r="R22" i="23"/>
  <c r="T27" i="23"/>
  <c r="O33" i="23"/>
  <c r="P45" i="23"/>
  <c r="S19" i="23"/>
  <c r="Z27" i="23"/>
  <c r="S33" i="23"/>
  <c r="S45" i="23"/>
  <c r="T95" i="23"/>
  <c r="V98" i="23"/>
  <c r="T18" i="23"/>
  <c r="V19" i="23"/>
  <c r="P26" i="23"/>
  <c r="T33" i="23"/>
  <c r="W45" i="23"/>
  <c r="T14" i="23"/>
  <c r="G16" i="23"/>
  <c r="V18" i="23"/>
  <c r="W19" i="23"/>
  <c r="V20" i="23"/>
  <c r="W26" i="23"/>
  <c r="S32" i="23"/>
  <c r="W34" i="23"/>
  <c r="X34" i="23" s="1"/>
  <c r="G117" i="23"/>
  <c r="F117" i="23" s="1"/>
  <c r="S94" i="23"/>
  <c r="O104" i="23"/>
  <c r="S39" i="23"/>
  <c r="P39" i="23"/>
  <c r="W39" i="23"/>
  <c r="P29" i="23"/>
  <c r="P21" i="23"/>
  <c r="T25" i="23"/>
  <c r="R28" i="23"/>
  <c r="R50" i="23"/>
  <c r="S57" i="23"/>
  <c r="V62" i="23"/>
  <c r="Q92" i="23"/>
  <c r="S92" i="23" s="1"/>
  <c r="V12" i="23"/>
  <c r="V15" i="23"/>
  <c r="P20" i="23"/>
  <c r="S21" i="23"/>
  <c r="O25" i="23"/>
  <c r="E24" i="23"/>
  <c r="S28" i="23"/>
  <c r="R29" i="23"/>
  <c r="T43" i="23"/>
  <c r="R13" i="23"/>
  <c r="W15" i="23"/>
  <c r="O19" i="23"/>
  <c r="T20" i="23"/>
  <c r="W21" i="23"/>
  <c r="P25" i="23"/>
  <c r="V29" i="23"/>
  <c r="R31" i="23"/>
  <c r="O32" i="23"/>
  <c r="R33" i="23"/>
  <c r="S36" i="23"/>
  <c r="V37" i="23"/>
  <c r="W42" i="23"/>
  <c r="R46" i="23"/>
  <c r="W50" i="23"/>
  <c r="Q67" i="23"/>
  <c r="O80" i="23"/>
  <c r="V92" i="23"/>
  <c r="U106" i="23"/>
  <c r="P98" i="23"/>
  <c r="R115" i="23"/>
  <c r="W20" i="23"/>
  <c r="O29" i="23"/>
  <c r="Z29" i="23"/>
  <c r="R32" i="23"/>
  <c r="S35" i="23"/>
  <c r="O37" i="23"/>
  <c r="P43" i="23"/>
  <c r="R51" i="23"/>
  <c r="S98" i="23"/>
  <c r="T22" i="23"/>
  <c r="P37" i="23"/>
  <c r="V38" i="23"/>
  <c r="T40" i="23"/>
  <c r="S51" i="23"/>
  <c r="R57" i="23"/>
  <c r="E79" i="23"/>
  <c r="E75" i="23" s="1"/>
  <c r="E16" i="23"/>
  <c r="W29" i="23"/>
  <c r="O15" i="23"/>
  <c r="P42" i="23"/>
  <c r="R45" i="23"/>
  <c r="T9" i="23"/>
  <c r="R12" i="23"/>
  <c r="S29" i="23"/>
  <c r="S37" i="23"/>
  <c r="S43" i="23"/>
  <c r="T51" i="23"/>
  <c r="T10" i="23"/>
  <c r="W32" i="23"/>
  <c r="R37" i="23"/>
  <c r="O41" i="23"/>
  <c r="S42" i="23"/>
  <c r="S47" i="23"/>
  <c r="P69" i="23"/>
  <c r="R88" i="23"/>
  <c r="O98" i="23"/>
  <c r="R9" i="23"/>
  <c r="V10" i="23"/>
  <c r="V22" i="23"/>
  <c r="W30" i="23"/>
  <c r="X30" i="23" s="1"/>
  <c r="P30" i="23"/>
  <c r="V30" i="23"/>
  <c r="O30" i="23"/>
  <c r="V40" i="23"/>
  <c r="R42" i="23"/>
  <c r="V46" i="23"/>
  <c r="W49" i="23"/>
  <c r="O9" i="23"/>
  <c r="P10" i="23"/>
  <c r="W14" i="23"/>
  <c r="P14" i="23"/>
  <c r="V14" i="23"/>
  <c r="O14" i="23"/>
  <c r="V36" i="23"/>
  <c r="R38" i="23"/>
  <c r="V47" i="23"/>
  <c r="W62" i="23"/>
  <c r="P62" i="23"/>
  <c r="S62" i="23"/>
  <c r="R62" i="23"/>
  <c r="T68" i="23"/>
  <c r="N117" i="23"/>
  <c r="O7" i="23"/>
  <c r="V7" i="23"/>
  <c r="P9" i="23"/>
  <c r="V9" i="23"/>
  <c r="O13" i="23"/>
  <c r="S18" i="23"/>
  <c r="Y18" i="23"/>
  <c r="R18" i="23"/>
  <c r="W18" i="23"/>
  <c r="R19" i="23"/>
  <c r="R21" i="23"/>
  <c r="W28" i="23"/>
  <c r="P28" i="23"/>
  <c r="V28" i="23"/>
  <c r="S30" i="23"/>
  <c r="R34" i="23"/>
  <c r="O36" i="23"/>
  <c r="W36" i="23"/>
  <c r="S38" i="23"/>
  <c r="R40" i="23"/>
  <c r="V43" i="23"/>
  <c r="O47" i="23"/>
  <c r="W47" i="23"/>
  <c r="S49" i="23"/>
  <c r="O62" i="23"/>
  <c r="R70" i="23"/>
  <c r="V70" i="23"/>
  <c r="O70" i="23"/>
  <c r="S70" i="23"/>
  <c r="T70" i="23"/>
  <c r="W46" i="23"/>
  <c r="X46" i="23" s="1"/>
  <c r="P46" i="23"/>
  <c r="V72" i="23"/>
  <c r="R72" i="23"/>
  <c r="T7" i="23"/>
  <c r="T12" i="23"/>
  <c r="S12" i="23"/>
  <c r="S20" i="23"/>
  <c r="P22" i="23"/>
  <c r="V24" i="23"/>
  <c r="P24" i="23"/>
  <c r="O24" i="23"/>
  <c r="W27" i="23"/>
  <c r="X27" i="23" s="1"/>
  <c r="P27" i="23"/>
  <c r="V27" i="23"/>
  <c r="O27" i="23"/>
  <c r="R30" i="23"/>
  <c r="O39" i="23"/>
  <c r="T39" i="23"/>
  <c r="S48" i="23"/>
  <c r="P7" i="23"/>
  <c r="W7" i="23"/>
  <c r="W9" i="23"/>
  <c r="R10" i="23"/>
  <c r="R14" i="23"/>
  <c r="O18" i="23"/>
  <c r="S22" i="23"/>
  <c r="W24" i="23"/>
  <c r="R27" i="23"/>
  <c r="O28" i="23"/>
  <c r="T30" i="23"/>
  <c r="S31" i="23"/>
  <c r="W33" i="23"/>
  <c r="P36" i="23"/>
  <c r="V39" i="23"/>
  <c r="O43" i="23"/>
  <c r="W43" i="23"/>
  <c r="S46" i="23"/>
  <c r="P47" i="23"/>
  <c r="T49" i="23"/>
  <c r="P70" i="23"/>
  <c r="D79" i="23"/>
  <c r="D75" i="23" s="1"/>
  <c r="U117" i="23"/>
  <c r="U79" i="23"/>
  <c r="U75" i="23" s="1"/>
  <c r="V87" i="23"/>
  <c r="O87" i="23"/>
  <c r="R87" i="23"/>
  <c r="W87" i="23"/>
  <c r="P87" i="23"/>
  <c r="S87" i="23"/>
  <c r="O111" i="23"/>
  <c r="W111" i="23"/>
  <c r="R111" i="23"/>
  <c r="V111" i="23"/>
  <c r="W38" i="23"/>
  <c r="P38" i="23"/>
  <c r="V49" i="23"/>
  <c r="P68" i="23"/>
  <c r="S68" i="23"/>
  <c r="O68" i="23"/>
  <c r="T92" i="23"/>
  <c r="W92" i="23"/>
  <c r="O92" i="23"/>
  <c r="W93" i="23"/>
  <c r="R93" i="23"/>
  <c r="V93" i="23"/>
  <c r="R96" i="23"/>
  <c r="V96" i="23"/>
  <c r="O96" i="23"/>
  <c r="S96" i="23"/>
  <c r="T96" i="23"/>
  <c r="S9" i="23"/>
  <c r="O38" i="23"/>
  <c r="O49" i="23"/>
  <c r="R80" i="23"/>
  <c r="P96" i="23"/>
  <c r="O115" i="23"/>
  <c r="V115" i="23"/>
  <c r="R7" i="23"/>
  <c r="W40" i="23"/>
  <c r="X40" i="23" s="1"/>
  <c r="P40" i="23"/>
  <c r="O10" i="23"/>
  <c r="W12" i="23"/>
  <c r="V13" i="23"/>
  <c r="T15" i="23"/>
  <c r="S15" i="23"/>
  <c r="O22" i="23"/>
  <c r="W22" i="23"/>
  <c r="D24" i="23"/>
  <c r="R25" i="23"/>
  <c r="T36" i="23"/>
  <c r="R39" i="23"/>
  <c r="O40" i="23"/>
  <c r="S41" i="23"/>
  <c r="R41" i="23"/>
  <c r="W41" i="23"/>
  <c r="X41" i="23" s="1"/>
  <c r="O46" i="23"/>
  <c r="T47" i="23"/>
  <c r="P49" i="23"/>
  <c r="V63" i="23"/>
  <c r="W63" i="23"/>
  <c r="R68" i="23"/>
  <c r="O72" i="23"/>
  <c r="W88" i="23"/>
  <c r="O88" i="23"/>
  <c r="P92" i="23"/>
  <c r="R20" i="23"/>
  <c r="T21" i="23"/>
  <c r="T26" i="23"/>
  <c r="V35" i="23"/>
  <c r="T42" i="23"/>
  <c r="T45" i="23"/>
  <c r="O52" i="23"/>
  <c r="S52" i="23"/>
  <c r="S90" i="23"/>
  <c r="W91" i="23"/>
  <c r="O91" i="23"/>
  <c r="S91" i="23"/>
  <c r="V95" i="23"/>
  <c r="O95" i="23"/>
  <c r="R95" i="23"/>
  <c r="W95" i="23"/>
  <c r="P95" i="23"/>
  <c r="O21" i="23"/>
  <c r="O26" i="23"/>
  <c r="O35" i="23"/>
  <c r="O42" i="23"/>
  <c r="O45" i="23"/>
  <c r="T94" i="23"/>
  <c r="R94" i="23"/>
  <c r="O51" i="23"/>
  <c r="O57" i="23"/>
  <c r="V57" i="23"/>
  <c r="O69" i="23"/>
  <c r="V69" i="23"/>
  <c r="T90" i="23"/>
  <c r="R98" i="23"/>
  <c r="P90" i="23"/>
  <c r="W90" i="23"/>
  <c r="O11" i="23" l="1"/>
  <c r="S11" i="23"/>
  <c r="T11" i="23"/>
  <c r="P11" i="23"/>
  <c r="V11" i="23"/>
  <c r="S103" i="23"/>
  <c r="W103" i="23"/>
  <c r="D53" i="23"/>
  <c r="D54" i="23" s="1"/>
  <c r="R114" i="23"/>
  <c r="V114" i="23"/>
  <c r="Q81" i="23"/>
  <c r="Q79" i="23" s="1"/>
  <c r="Q75" i="23" s="1"/>
  <c r="N83" i="23"/>
  <c r="F97" i="23"/>
  <c r="V97" i="23" s="1"/>
  <c r="T103" i="23"/>
  <c r="W86" i="23"/>
  <c r="T86" i="23"/>
  <c r="P86" i="23"/>
  <c r="U116" i="23"/>
  <c r="U113" i="23" s="1"/>
  <c r="W67" i="23"/>
  <c r="R24" i="23"/>
  <c r="G79" i="23"/>
  <c r="F79" i="23" s="1"/>
  <c r="F81" i="23"/>
  <c r="P81" i="23" s="1"/>
  <c r="E116" i="23"/>
  <c r="E113" i="23" s="1"/>
  <c r="F101" i="23"/>
  <c r="F102" i="23"/>
  <c r="U5" i="23"/>
  <c r="V5" i="23" s="1"/>
  <c r="W5" i="23" s="1"/>
  <c r="S86" i="23"/>
  <c r="F16" i="23"/>
  <c r="V16" i="23" s="1"/>
  <c r="N118" i="23"/>
  <c r="N116" i="23" s="1"/>
  <c r="N113" i="23" s="1"/>
  <c r="R92" i="23"/>
  <c r="T67" i="23"/>
  <c r="P67" i="23"/>
  <c r="Z51" i="23"/>
  <c r="U54" i="23"/>
  <c r="U109" i="23" s="1"/>
  <c r="O67" i="23"/>
  <c r="V86" i="23"/>
  <c r="O86" i="23"/>
  <c r="R11" i="23"/>
  <c r="Y53" i="23"/>
  <c r="T24" i="23"/>
  <c r="R103" i="23"/>
  <c r="O103" i="23"/>
  <c r="P103" i="23"/>
  <c r="S24" i="23"/>
  <c r="V103" i="23"/>
  <c r="S67" i="23"/>
  <c r="R67" i="23"/>
  <c r="S80" i="23"/>
  <c r="N108" i="23"/>
  <c r="N109" i="23" s="1"/>
  <c r="P80" i="23"/>
  <c r="U108" i="23"/>
  <c r="V80" i="23"/>
  <c r="T80" i="23"/>
  <c r="W80" i="23"/>
  <c r="N54" i="23"/>
  <c r="R117" i="23"/>
  <c r="O117" i="23"/>
  <c r="S117" i="23"/>
  <c r="T117" i="23"/>
  <c r="W117" i="23"/>
  <c r="V117" i="23"/>
  <c r="P117" i="23"/>
  <c r="V118" i="23"/>
  <c r="W118" i="23"/>
  <c r="T118" i="23"/>
  <c r="S26" i="23"/>
  <c r="R26" i="23"/>
  <c r="U83" i="23"/>
  <c r="G116" i="23"/>
  <c r="G113" i="23" s="1"/>
  <c r="F113" i="23" s="1"/>
  <c r="W17" i="23"/>
  <c r="V17" i="23"/>
  <c r="P17" i="23"/>
  <c r="T17" i="23"/>
  <c r="O17" i="23"/>
  <c r="R17" i="23"/>
  <c r="S17" i="23"/>
  <c r="Q137" i="23"/>
  <c r="N84" i="23" l="1"/>
  <c r="Q118" i="23"/>
  <c r="Q116" i="23" s="1"/>
  <c r="Q113" i="23" s="1"/>
  <c r="D108" i="23"/>
  <c r="V102" i="23"/>
  <c r="W102" i="23"/>
  <c r="D83" i="23"/>
  <c r="D84" i="23" s="1"/>
  <c r="V101" i="23"/>
  <c r="W101" i="23"/>
  <c r="F116" i="23"/>
  <c r="W97" i="23"/>
  <c r="P97" i="23"/>
  <c r="S97" i="23"/>
  <c r="R97" i="23"/>
  <c r="P106" i="23"/>
  <c r="G75" i="23"/>
  <c r="F75" i="23" s="1"/>
  <c r="O97" i="23"/>
  <c r="S102" i="23"/>
  <c r="T97" i="23"/>
  <c r="R102" i="23"/>
  <c r="U121" i="23"/>
  <c r="Y121" i="23" s="1"/>
  <c r="O102" i="23"/>
  <c r="T102" i="23"/>
  <c r="R101" i="23"/>
  <c r="P102" i="23"/>
  <c r="R81" i="23"/>
  <c r="O81" i="23"/>
  <c r="S81" i="23"/>
  <c r="R16" i="23"/>
  <c r="P118" i="23"/>
  <c r="O101" i="23"/>
  <c r="T101" i="23"/>
  <c r="T81" i="23"/>
  <c r="W81" i="23"/>
  <c r="V81" i="23"/>
  <c r="S101" i="23"/>
  <c r="P101" i="23"/>
  <c r="W16" i="23"/>
  <c r="S16" i="23"/>
  <c r="E83" i="23"/>
  <c r="E84" i="23" s="1"/>
  <c r="P16" i="23"/>
  <c r="T16" i="23"/>
  <c r="O16" i="23"/>
  <c r="F53" i="23"/>
  <c r="T53" i="23" s="1"/>
  <c r="O118" i="23"/>
  <c r="D121" i="23"/>
  <c r="D122" i="23" s="1"/>
  <c r="D109" i="23"/>
  <c r="N121" i="23"/>
  <c r="N122" i="23" s="1"/>
  <c r="N131" i="23" s="1"/>
  <c r="U84" i="23"/>
  <c r="U122" i="23" s="1"/>
  <c r="G108" i="23"/>
  <c r="F108" i="23" s="1"/>
  <c r="Y106" i="23"/>
  <c r="G54" i="23"/>
  <c r="Q108" i="23"/>
  <c r="Q83" i="23"/>
  <c r="Q84" i="23" s="1"/>
  <c r="Q54" i="23"/>
  <c r="Q139" i="23"/>
  <c r="Q135" i="23"/>
  <c r="E108" i="23"/>
  <c r="E54" i="23"/>
  <c r="R79" i="23"/>
  <c r="O79" i="23"/>
  <c r="S79" i="23"/>
  <c r="P79" i="23"/>
  <c r="T79" i="23"/>
  <c r="V79" i="23"/>
  <c r="W79" i="23"/>
  <c r="Y83" i="23"/>
  <c r="R118" i="23" l="1"/>
  <c r="S118" i="23"/>
  <c r="O53" i="23"/>
  <c r="G83" i="23"/>
  <c r="F83" i="23" s="1"/>
  <c r="D131" i="23"/>
  <c r="T106" i="23"/>
  <c r="O106" i="23"/>
  <c r="R106" i="23"/>
  <c r="V106" i="23"/>
  <c r="W106" i="23"/>
  <c r="S106" i="23"/>
  <c r="R53" i="23"/>
  <c r="W53" i="23"/>
  <c r="Y51" i="23"/>
  <c r="AA51" i="23" s="1"/>
  <c r="S53" i="23"/>
  <c r="P53" i="23"/>
  <c r="F54" i="23"/>
  <c r="P54" i="23" s="1"/>
  <c r="V53" i="23"/>
  <c r="E121" i="23"/>
  <c r="E131" i="23" s="1"/>
  <c r="E109" i="23"/>
  <c r="G109" i="23"/>
  <c r="F109" i="23" s="1"/>
  <c r="S108" i="23"/>
  <c r="Q109" i="23"/>
  <c r="Q121" i="23"/>
  <c r="Q122" i="23" s="1"/>
  <c r="T108" i="23"/>
  <c r="G121" i="23"/>
  <c r="F121" i="23" s="1"/>
  <c r="R75" i="23"/>
  <c r="O75" i="23"/>
  <c r="S75" i="23"/>
  <c r="W75" i="23"/>
  <c r="V75" i="23"/>
  <c r="T75" i="23"/>
  <c r="P75" i="23"/>
  <c r="T116" i="23"/>
  <c r="W116" i="23"/>
  <c r="O116" i="23"/>
  <c r="V116" i="23"/>
  <c r="P116" i="23"/>
  <c r="S116" i="23"/>
  <c r="R116" i="23"/>
  <c r="G84" i="23" l="1"/>
  <c r="F84" i="23" s="1"/>
  <c r="R84" i="23" s="1"/>
  <c r="E133" i="23"/>
  <c r="W54" i="23"/>
  <c r="E122" i="23"/>
  <c r="V54" i="23"/>
  <c r="S54" i="23"/>
  <c r="O54" i="23"/>
  <c r="T54" i="23"/>
  <c r="R54" i="23"/>
  <c r="O108" i="23"/>
  <c r="V108" i="23"/>
  <c r="P108" i="23"/>
  <c r="W108" i="23"/>
  <c r="T109" i="23"/>
  <c r="P109" i="23"/>
  <c r="O109" i="23"/>
  <c r="W109" i="23"/>
  <c r="V109" i="23"/>
  <c r="R108" i="23"/>
  <c r="R109" i="23"/>
  <c r="S109" i="23"/>
  <c r="V121" i="23"/>
  <c r="G122" i="23"/>
  <c r="F122" i="23" s="1"/>
  <c r="R83" i="23"/>
  <c r="O83" i="23"/>
  <c r="S83" i="23"/>
  <c r="P83" i="23"/>
  <c r="T83" i="23"/>
  <c r="W83" i="23"/>
  <c r="V83" i="23"/>
  <c r="R113" i="23"/>
  <c r="O113" i="23"/>
  <c r="S113" i="23"/>
  <c r="T113" i="23"/>
  <c r="W113" i="23"/>
  <c r="P113" i="23"/>
  <c r="V113" i="23"/>
  <c r="O84" i="23" l="1"/>
  <c r="S84" i="23"/>
  <c r="W84" i="23"/>
  <c r="T84" i="23"/>
  <c r="P84" i="23"/>
  <c r="V84" i="23"/>
  <c r="F133" i="23"/>
  <c r="W121" i="23"/>
  <c r="F131" i="23"/>
  <c r="R121" i="23"/>
  <c r="T121" i="23"/>
  <c r="P121" i="23"/>
  <c r="S121" i="23"/>
  <c r="O121" i="23"/>
  <c r="R122" i="23"/>
  <c r="W122" i="23"/>
  <c r="S122" i="23"/>
  <c r="V122" i="23"/>
  <c r="P122" i="23"/>
  <c r="O122" i="23"/>
  <c r="T122" i="23"/>
</calcChain>
</file>

<file path=xl/sharedStrings.xml><?xml version="1.0" encoding="utf-8"?>
<sst xmlns="http://schemas.openxmlformats.org/spreadsheetml/2006/main" count="239" uniqueCount="223">
  <si>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</si>
  <si>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</si>
  <si>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</si>
  <si>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</si>
  <si>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</si>
  <si>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</si>
  <si>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</si>
  <si>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</si>
  <si>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</si>
  <si>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</si>
  <si>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</si>
  <si>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</si>
  <si>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</si>
  <si>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</si>
  <si>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</si>
  <si>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</si>
  <si>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</si>
  <si>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</si>
  <si>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</si>
  <si>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</si>
  <si>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</si>
  <si>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</si>
  <si>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</si>
  <si>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</si>
  <si>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</si>
  <si>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</si>
  <si>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</si>
  <si>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</si>
  <si>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</si>
  <si>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</si>
  <si>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</si>
  <si>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</si>
  <si>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</si>
  <si>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</si>
  <si>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</si>
  <si>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</si>
  <si>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</si>
  <si>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</si>
  <si>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</si>
  <si>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</si>
  <si>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</si>
  <si>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</si>
  <si>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</si>
  <si>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</si>
  <si>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</si>
  <si>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</si>
  <si>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</si>
  <si>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</si>
  <si>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</si>
  <si>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</si>
  <si>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</si>
  <si>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</si>
  <si>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</si>
  <si>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</si>
  <si>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</si>
  <si>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</si>
  <si>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</si>
  <si>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</si>
  <si>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</si>
  <si>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</si>
  <si>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</si>
  <si>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</si>
  <si>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</si>
  <si>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</si>
  <si>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</si>
  <si>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</si>
  <si>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</si>
  <si>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</si>
  <si>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</si>
  <si>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</si>
  <si>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</si>
  <si>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</si>
  <si>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</si>
  <si>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</si>
  <si>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</si>
  <si>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</si>
  <si>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</si>
  <si>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</si>
  <si>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</si>
  <si>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</si>
  <si>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</si>
  <si>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</si>
  <si>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</si>
  <si>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</si>
  <si>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</si>
  <si>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</si>
  <si>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</si>
  <si>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</si>
  <si>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</si>
  <si>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</si>
  <si>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</si>
  <si>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</si>
  <si>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</si>
  <si>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</si>
  <si>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</si>
  <si>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</si>
  <si>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</si>
  <si>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</si>
  <si>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</si>
  <si>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</si>
  <si>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</si>
  <si>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</si>
  <si>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</si>
  <si>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</si>
  <si>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</si>
  <si>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</si>
  <si>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</si>
  <si>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</si>
  <si>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</si>
  <si>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</si>
  <si>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</si>
  <si>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</si>
  <si>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</si>
  <si>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</si>
  <si>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</si>
  <si>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</si>
  <si>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</si>
  <si>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</si>
  <si>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</si>
  <si>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</si>
  <si>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</si>
  <si>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</si>
  <si>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</si>
  <si>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</si>
  <si>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</si>
  <si>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</si>
  <si>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</si>
  <si>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</si>
  <si>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</si>
  <si>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</si>
  <si>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</si>
  <si>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</si>
  <si>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</si>
  <si>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</si>
  <si>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</si>
  <si>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</si>
  <si>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</si>
  <si>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</si>
  <si>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</si>
  <si>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</si>
  <si>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</si>
  <si>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</si>
  <si>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</si>
  <si>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</si>
  <si>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</si>
  <si>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</si>
  <si>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</si>
  <si>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</si>
  <si>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</si>
  <si>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</si>
  <si>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</si>
  <si>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</si>
  <si>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</si>
  <si>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</si>
  <si>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</si>
  <si>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</si>
  <si>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</si>
  <si>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</si>
  <si>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</si>
  <si>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</si>
  <si>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</si>
  <si>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</si>
  <si>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</si>
  <si>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</si>
  <si>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</si>
  <si>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</si>
  <si>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</si>
  <si>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</si>
  <si>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</si>
  <si>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</si>
  <si>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</si>
  <si>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</si>
  <si>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</si>
  <si>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</si>
  <si>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</si>
  <si>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</si>
  <si>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</si>
  <si>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</si>
  <si>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</si>
  <si>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</si>
  <si>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</si>
  <si>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</si>
  <si>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</si>
  <si>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</si>
  <si>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</si>
  <si>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</si>
  <si>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</si>
  <si>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</si>
  <si>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</si>
  <si>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</si>
  <si>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</si>
  <si>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</si>
  <si>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</si>
  <si>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</si>
  <si>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Ірина ЛАРІНА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</si>
  <si>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</si>
  <si>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</si>
  <si>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</si>
  <si>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</si>
  <si>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ФОНДУ
(без ПДФО "військовослужбовців" 
ККД 11010200) </t>
  </si>
  <si>
    <t>липень</t>
  </si>
  <si>
    <t>Надійшло за січень - липень 2024р.</t>
  </si>
  <si>
    <t>План на січень - липень 2024 року</t>
  </si>
  <si>
    <t>Відхилення надходжень до плану на січень - липень 2024 року</t>
  </si>
  <si>
    <t>План на січень - липень 2024р. (розрахунковий)</t>
  </si>
  <si>
    <t xml:space="preserve">Відхилення надходжень до плану на січень - липень 2024 року (розрахунковий) </t>
  </si>
  <si>
    <t>Надійшло за січень - липень 2023р.</t>
  </si>
  <si>
    <t>% виконання до бюджету на 2024р. (норма 58,3%)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</si>
  <si>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</si>
  <si>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</si>
  <si>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</si>
  <si>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</si>
  <si>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</si>
  <si>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13.1.</t>
  </si>
  <si>
    <t>13.2.</t>
  </si>
  <si>
    <t>13.3.</t>
  </si>
  <si>
    <t>13.4.</t>
  </si>
  <si>
    <t>13.5.</t>
  </si>
  <si>
    <t>13.6.</t>
  </si>
  <si>
    <t>13.7.</t>
  </si>
  <si>
    <t>Аналіз виконання бюджету Вінницької міської територіальної громади за січень - липень 2024 року</t>
  </si>
  <si>
    <t xml:space="preserve">Власні доходи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</si>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</sst>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0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4.5"/>
      <name val="Times New Roman"/>
      <family val="1"/>
      <charset val="204"/>
    </font>
    <font>
      <sz val="14.5"/>
      <name val="Times New Roman Cyr"/>
      <charset val="204"/>
    </font>
    <font>
      <i/>
      <sz val="14.5"/>
      <name val="Times New Roman Cyr"/>
      <charset val="204"/>
    </font>
    <font>
      <sz val="1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2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2" fillId="2" borderId="1" xfId="3" applyNumberFormat="1" applyFont="1" applyFill="1" applyBorder="1" applyAlignment="1">
      <alignment horizontal="center" vertical="center" wrapText="1"/>
    </xf>
    <xf numFmtId="168" fontId="32" fillId="2" borderId="1" xfId="1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41" fillId="2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8" fontId="36" fillId="2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/>
    </xf>
    <xf numFmtId="164" fontId="36" fillId="2" borderId="1" xfId="3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167" fontId="41" fillId="2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166" fontId="41" fillId="2" borderId="4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2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166" fontId="38" fillId="0" borderId="2" xfId="3" applyNumberFormat="1" applyFont="1" applyFill="1" applyBorder="1" applyAlignment="1">
      <alignment vertical="center" wrapText="1"/>
    </xf>
    <xf numFmtId="166" fontId="38" fillId="0" borderId="3" xfId="3" applyNumberFormat="1" applyFont="1" applyFill="1" applyBorder="1" applyAlignment="1">
      <alignment vertical="center" wrapText="1"/>
    </xf>
    <xf numFmtId="166" fontId="38" fillId="0" borderId="4" xfId="3" applyNumberFormat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8" fillId="0" borderId="1" xfId="3" applyNumberFormat="1" applyFont="1" applyFill="1" applyBorder="1" applyAlignment="1">
      <alignment horizontal="left" vertical="center" wrapText="1" shrinkToFi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2" borderId="1" xfId="3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showGridLines="0" tabSelected="1" view="pageBreakPreview" zoomScale="50" zoomScaleNormal="75" zoomScaleSheetLayoutView="50" workbookViewId="0">
      <pane xSplit="3" ySplit="4" topLeftCell="D98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RowHeight="12.75" x14ac:dyDescent="0.2"/>
  <cols>
    <col min="1" max="1" width="12.28515625" style="19" customWidth="1"/>
    <col min="2" max="2" width="117.4257812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7.7109375" style="31" customWidth="1"/>
    <col min="7" max="7" width="24.140625" style="3" hidden="1" customWidth="1"/>
    <col min="8" max="13" width="21.140625" style="3" hidden="1" customWidth="1"/>
    <col min="14" max="14" width="26.7109375" style="3" customWidth="1"/>
    <col min="15" max="15" width="23.7109375" style="3" customWidth="1"/>
    <col min="16" max="16" width="14.85546875" style="3" bestFit="1" customWidth="1"/>
    <col min="17" max="17" width="26.42578125" style="3" hidden="1" customWidth="1"/>
    <col min="18" max="18" width="23" style="3" hidden="1" customWidth="1"/>
    <col min="19" max="19" width="13.7109375" style="3" hidden="1" customWidth="1"/>
    <col min="20" max="20" width="24.85546875" style="3" customWidth="1"/>
    <col min="21" max="21" width="24.140625" style="31" customWidth="1"/>
    <col min="22" max="22" width="23.5703125" style="1" customWidth="1"/>
    <col min="23" max="23" width="13.7109375" style="3" bestFit="1" customWidth="1"/>
    <col min="24" max="24" width="24.140625" style="3" hidden="1" customWidth="1"/>
    <col min="25" max="25" width="22.5703125" style="3" hidden="1" customWidth="1"/>
    <col min="26" max="26" width="15.85546875" style="3" hidden="1" customWidth="1"/>
    <col min="27" max="27" width="0" style="3" hidden="1" customWidth="1"/>
    <col min="28" max="28" width="24.140625" style="3" hidden="1" customWidth="1"/>
    <col min="29" max="29" width="0" style="3" hidden="1" customWidth="1"/>
    <col min="30" max="30" width="15.140625" style="3" bestFit="1" customWidth="1"/>
    <col min="31" max="16384" width="9.140625" style="3"/>
  </cols>
  <sheetData>
    <row r="1" spans="1:38" ht="30" customHeight="1" x14ac:dyDescent="0.2">
      <c r="A1" s="207" t="s">
        <v>220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2" spans="1:38" ht="18.75" x14ac:dyDescent="0.3">
      <c r="A2" s="22" t="s">
        <v>48</v>
      </c>
      <c r="B2" s="17"/>
      <c r="C2" s="17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199"/>
      <c r="U2" s="89"/>
      <c r="V2" s="5" t="s">
        <v>13</v>
      </c>
      <c r="W2" s="5"/>
    </row>
    <row r="3" spans="1:38" s="60" customFormat="1" ht="15" customHeight="1" x14ac:dyDescent="0.25">
      <c r="A3" s="208" t="s">
        <v>0</v>
      </c>
      <c r="B3" s="209" t="s">
        <v>1</v>
      </c>
      <c r="C3" s="209" t="s">
        <v>2</v>
      </c>
      <c r="D3" s="210" t="s">
        <v>153</v>
      </c>
      <c r="E3" s="210" t="s">
        <v>154</v>
      </c>
      <c r="F3" s="211" t="s">
        <v>201</v>
      </c>
      <c r="G3" s="210" t="s">
        <v>63</v>
      </c>
      <c r="H3" s="210" t="s">
        <v>175</v>
      </c>
      <c r="I3" s="210" t="s">
        <v>183</v>
      </c>
      <c r="J3" s="210" t="s">
        <v>188</v>
      </c>
      <c r="K3" s="210" t="s">
        <v>193</v>
      </c>
      <c r="L3" s="210" t="s">
        <v>195</v>
      </c>
      <c r="M3" s="210" t="s">
        <v>200</v>
      </c>
      <c r="N3" s="210" t="s">
        <v>202</v>
      </c>
      <c r="O3" s="210" t="s">
        <v>203</v>
      </c>
      <c r="P3" s="210" t="s">
        <v>3</v>
      </c>
      <c r="Q3" s="210" t="s">
        <v>204</v>
      </c>
      <c r="R3" s="210" t="s">
        <v>205</v>
      </c>
      <c r="S3" s="210" t="s">
        <v>3</v>
      </c>
      <c r="T3" s="215" t="s">
        <v>207</v>
      </c>
      <c r="U3" s="211" t="s">
        <v>206</v>
      </c>
      <c r="V3" s="210" t="s">
        <v>157</v>
      </c>
      <c r="W3" s="210" t="s">
        <v>3</v>
      </c>
    </row>
    <row r="4" spans="1:38" s="60" customFormat="1" ht="63" customHeight="1" x14ac:dyDescent="0.25">
      <c r="A4" s="208"/>
      <c r="B4" s="209"/>
      <c r="C4" s="209"/>
      <c r="D4" s="210"/>
      <c r="E4" s="210"/>
      <c r="F4" s="211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5"/>
      <c r="U4" s="211"/>
      <c r="V4" s="210"/>
      <c r="W4" s="210"/>
    </row>
    <row r="5" spans="1:38" s="65" customFormat="1" ht="20.25" x14ac:dyDescent="0.2">
      <c r="A5" s="61" t="s">
        <v>4</v>
      </c>
      <c r="B5" s="62" t="s">
        <v>5</v>
      </c>
      <c r="C5" s="62">
        <f>B5+1</f>
        <v>3</v>
      </c>
      <c r="D5" s="62">
        <f>C5+1</f>
        <v>4</v>
      </c>
      <c r="E5" s="62">
        <f t="shared" ref="E5:W5" si="0">D5+1</f>
        <v>5</v>
      </c>
      <c r="F5" s="63">
        <f t="shared" ref="F5" si="1">E5+1</f>
        <v>6</v>
      </c>
      <c r="G5" s="62">
        <f t="shared" ref="G5" si="2">F5+1</f>
        <v>7</v>
      </c>
      <c r="H5" s="62">
        <f t="shared" ref="H5" si="3">G5+1</f>
        <v>8</v>
      </c>
      <c r="I5" s="62">
        <f t="shared" ref="I5" si="4">H5+1</f>
        <v>9</v>
      </c>
      <c r="J5" s="62">
        <f t="shared" ref="J5" si="5">I5+1</f>
        <v>10</v>
      </c>
      <c r="K5" s="62">
        <f t="shared" ref="K5" si="6">J5+1</f>
        <v>11</v>
      </c>
      <c r="L5" s="62">
        <f t="shared" ref="L5" si="7">K5+1</f>
        <v>12</v>
      </c>
      <c r="M5" s="62">
        <f t="shared" ref="M5" si="8">L5+1</f>
        <v>13</v>
      </c>
      <c r="N5" s="62">
        <v>7</v>
      </c>
      <c r="O5" s="62">
        <f t="shared" ref="O5" si="9">N5+1</f>
        <v>8</v>
      </c>
      <c r="P5" s="62">
        <f t="shared" ref="P5" si="10">O5+1</f>
        <v>9</v>
      </c>
      <c r="Q5" s="62">
        <f t="shared" ref="Q5" si="11">P5+1</f>
        <v>10</v>
      </c>
      <c r="R5" s="62">
        <f t="shared" ref="R5" si="12">Q5+1</f>
        <v>11</v>
      </c>
      <c r="S5" s="62">
        <f t="shared" ref="S5" si="13">R5+1</f>
        <v>12</v>
      </c>
      <c r="T5" s="62">
        <v>10</v>
      </c>
      <c r="U5" s="63">
        <f t="shared" si="0"/>
        <v>11</v>
      </c>
      <c r="V5" s="62">
        <f t="shared" si="0"/>
        <v>12</v>
      </c>
      <c r="W5" s="62">
        <f t="shared" si="0"/>
        <v>13</v>
      </c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s="66" customFormat="1" ht="26.25" customHeight="1" x14ac:dyDescent="0.2">
      <c r="A6" s="212" t="s">
        <v>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</row>
    <row r="7" spans="1:38" s="71" customFormat="1" ht="32.25" customHeight="1" x14ac:dyDescent="0.25">
      <c r="A7" s="213">
        <v>1</v>
      </c>
      <c r="B7" s="76" t="s">
        <v>64</v>
      </c>
      <c r="C7" s="68" t="s">
        <v>14</v>
      </c>
      <c r="D7" s="105">
        <v>3112871.4720000001</v>
      </c>
      <c r="E7" s="105">
        <v>3224514.5359999998</v>
      </c>
      <c r="F7" s="106">
        <f>SUM(G7:M7)</f>
        <v>1831286.071</v>
      </c>
      <c r="G7" s="105">
        <v>211850.85699999999</v>
      </c>
      <c r="H7" s="105">
        <v>240217.06700000001</v>
      </c>
      <c r="I7" s="186">
        <v>248941.52799999999</v>
      </c>
      <c r="J7" s="186">
        <v>265666.495</v>
      </c>
      <c r="K7" s="186">
        <v>290951.80499999999</v>
      </c>
      <c r="L7" s="186">
        <v>288772.804</v>
      </c>
      <c r="M7" s="105">
        <v>284885.51500000001</v>
      </c>
      <c r="N7" s="105">
        <v>1758832.3940000001</v>
      </c>
      <c r="O7" s="105">
        <f>F7-N7</f>
        <v>72453.676999999909</v>
      </c>
      <c r="P7" s="164">
        <f>F7/N7*100</f>
        <v>104.11941906728379</v>
      </c>
      <c r="Q7" s="105">
        <f>E7/12*7</f>
        <v>1880966.8126666667</v>
      </c>
      <c r="R7" s="105">
        <f>F7-Q7</f>
        <v>-49680.741666666698</v>
      </c>
      <c r="S7" s="164">
        <f>F7/Q7*100</f>
        <v>97.358765644767871</v>
      </c>
      <c r="T7" s="164">
        <f>F7/E7*100</f>
        <v>56.792613292781269</v>
      </c>
      <c r="U7" s="106">
        <v>1980946.79</v>
      </c>
      <c r="V7" s="107">
        <f>F7-U7</f>
        <v>-149660.71900000004</v>
      </c>
      <c r="W7" s="108">
        <f>F7/U7*100</f>
        <v>92.444990458325222</v>
      </c>
      <c r="X7" s="69"/>
      <c r="Y7" s="69"/>
      <c r="Z7" s="69">
        <f>X7-Y7</f>
        <v>0</v>
      </c>
      <c r="AA7" s="70" t="e">
        <f>X7/Y7*100</f>
        <v>#DIV/0!</v>
      </c>
    </row>
    <row r="8" spans="1:38" s="75" customFormat="1" ht="59.25" hidden="1" x14ac:dyDescent="0.25">
      <c r="A8" s="213"/>
      <c r="B8" s="152" t="s">
        <v>159</v>
      </c>
      <c r="C8" s="160" t="s">
        <v>158</v>
      </c>
      <c r="D8" s="200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2"/>
      <c r="U8" s="110">
        <v>510838.62300000002</v>
      </c>
      <c r="V8" s="111">
        <f>D8-U8</f>
        <v>-510838.62300000002</v>
      </c>
      <c r="W8" s="112">
        <f>D8/U8*100</f>
        <v>0</v>
      </c>
      <c r="X8" s="73"/>
      <c r="Y8" s="73"/>
      <c r="Z8" s="73"/>
      <c r="AA8" s="74"/>
    </row>
    <row r="9" spans="1:38" s="175" customFormat="1" ht="44.25" hidden="1" customHeight="1" x14ac:dyDescent="0.25">
      <c r="A9" s="213"/>
      <c r="B9" s="214" t="s">
        <v>178</v>
      </c>
      <c r="C9" s="214"/>
      <c r="D9" s="172">
        <f>D7</f>
        <v>3112871.4720000001</v>
      </c>
      <c r="E9" s="172">
        <f>E7</f>
        <v>3224514.5359999998</v>
      </c>
      <c r="F9" s="172">
        <f t="shared" ref="F9:F84" si="14">SUM(G9:M9)</f>
        <v>1831286.071</v>
      </c>
      <c r="G9" s="172">
        <f t="shared" ref="G9:N9" si="15">G7</f>
        <v>211850.85699999999</v>
      </c>
      <c r="H9" s="172">
        <f t="shared" si="15"/>
        <v>240217.06700000001</v>
      </c>
      <c r="I9" s="172">
        <f t="shared" si="15"/>
        <v>248941.52799999999</v>
      </c>
      <c r="J9" s="172">
        <f t="shared" si="15"/>
        <v>265666.495</v>
      </c>
      <c r="K9" s="172">
        <f t="shared" ref="K9:L9" si="16">K7</f>
        <v>290951.80499999999</v>
      </c>
      <c r="L9" s="172">
        <f t="shared" si="16"/>
        <v>288772.804</v>
      </c>
      <c r="M9" s="172">
        <f t="shared" si="15"/>
        <v>284885.51500000001</v>
      </c>
      <c r="N9" s="172">
        <f t="shared" si="15"/>
        <v>1758832.3940000001</v>
      </c>
      <c r="O9" s="172">
        <f>F9-N9</f>
        <v>72453.676999999909</v>
      </c>
      <c r="P9" s="178">
        <f>F9/N9*100</f>
        <v>104.11941906728379</v>
      </c>
      <c r="Q9" s="172">
        <f>E9/12*6</f>
        <v>1612257.2679999999</v>
      </c>
      <c r="R9" s="172">
        <f>F9-Q9</f>
        <v>219028.80300000007</v>
      </c>
      <c r="S9" s="178">
        <f>F9/Q9*100</f>
        <v>113.58522658556254</v>
      </c>
      <c r="T9" s="178">
        <f>F9/E9*100</f>
        <v>56.792613292781269</v>
      </c>
      <c r="U9" s="172">
        <f>U7-U8</f>
        <v>1470108.1669999999</v>
      </c>
      <c r="V9" s="179">
        <f t="shared" ref="V9" si="17">F9-U9</f>
        <v>361177.9040000001</v>
      </c>
      <c r="W9" s="180">
        <f t="shared" ref="W9" si="18">F9/U9*100</f>
        <v>124.56811764654323</v>
      </c>
      <c r="X9" s="173"/>
      <c r="Y9" s="173"/>
      <c r="Z9" s="173"/>
      <c r="AA9" s="174"/>
    </row>
    <row r="10" spans="1:38" s="71" customFormat="1" ht="23.25" x14ac:dyDescent="0.25">
      <c r="A10" s="67">
        <f>A7+1</f>
        <v>2</v>
      </c>
      <c r="B10" s="76" t="s">
        <v>36</v>
      </c>
      <c r="C10" s="68" t="s">
        <v>16</v>
      </c>
      <c r="D10" s="105">
        <v>2500</v>
      </c>
      <c r="E10" s="105">
        <v>4100</v>
      </c>
      <c r="F10" s="106">
        <f t="shared" si="14"/>
        <v>3863.123</v>
      </c>
      <c r="G10" s="105">
        <v>238.74100000000001</v>
      </c>
      <c r="H10" s="105">
        <v>122.902</v>
      </c>
      <c r="I10" s="186">
        <v>2232.596</v>
      </c>
      <c r="J10" s="186">
        <v>95.078000000000003</v>
      </c>
      <c r="K10" s="186">
        <v>1108.9580000000001</v>
      </c>
      <c r="L10" s="186">
        <v>0.311</v>
      </c>
      <c r="M10" s="105">
        <v>64.537000000000006</v>
      </c>
      <c r="N10" s="105">
        <v>3806.3</v>
      </c>
      <c r="O10" s="105">
        <f t="shared" ref="O10:O84" si="19">F10-N10</f>
        <v>56.822999999999865</v>
      </c>
      <c r="P10" s="164">
        <f t="shared" ref="P10:P84" si="20">F10/N10*100</f>
        <v>101.49286708877388</v>
      </c>
      <c r="Q10" s="105">
        <f>E10/12*7</f>
        <v>2391.666666666667</v>
      </c>
      <c r="R10" s="105">
        <f t="shared" ref="R10:R84" si="21">F10-Q10</f>
        <v>1471.4563333333331</v>
      </c>
      <c r="S10" s="164">
        <f t="shared" ref="S10:S84" si="22">F10/Q10*100</f>
        <v>161.52430662020905</v>
      </c>
      <c r="T10" s="164">
        <f t="shared" ref="T10:T84" si="23">F10/E10*100</f>
        <v>94.222512195121951</v>
      </c>
      <c r="U10" s="106">
        <v>1097.067</v>
      </c>
      <c r="V10" s="107">
        <f t="shared" ref="V10:V41" si="24">F10-U10</f>
        <v>2766.056</v>
      </c>
      <c r="W10" s="108">
        <f>F10/U10*100</f>
        <v>352.13191172462575</v>
      </c>
      <c r="X10" s="69"/>
      <c r="Y10" s="69"/>
      <c r="Z10" s="69">
        <f>U7/0.5</f>
        <v>3961893.58</v>
      </c>
      <c r="AA10" s="70">
        <f>Y10/Z10*100</f>
        <v>0</v>
      </c>
    </row>
    <row r="11" spans="1:38" s="71" customFormat="1" ht="23.25" x14ac:dyDescent="0.25">
      <c r="A11" s="67">
        <v>3</v>
      </c>
      <c r="B11" s="76" t="s">
        <v>98</v>
      </c>
      <c r="C11" s="68" t="s">
        <v>99</v>
      </c>
      <c r="D11" s="105">
        <f>SUM(D12:D15)</f>
        <v>455.8</v>
      </c>
      <c r="E11" s="105">
        <f>SUM(E12:E15)</f>
        <v>455.8</v>
      </c>
      <c r="F11" s="106">
        <f t="shared" si="14"/>
        <v>95.978999999999999</v>
      </c>
      <c r="G11" s="105">
        <f t="shared" ref="G11:N11" si="25">SUM(G12:G15)</f>
        <v>0.97799999999999998</v>
      </c>
      <c r="H11" s="105">
        <f t="shared" ref="H11:L11" si="26">SUM(H12:H15)</f>
        <v>61.450999999999993</v>
      </c>
      <c r="I11" s="186">
        <f t="shared" si="26"/>
        <v>1.4999999999999999E-2</v>
      </c>
      <c r="J11" s="186">
        <f t="shared" si="26"/>
        <v>2</v>
      </c>
      <c r="K11" s="186">
        <f t="shared" si="26"/>
        <v>29.079000000000001</v>
      </c>
      <c r="L11" s="186">
        <f t="shared" si="26"/>
        <v>0.26200000000000001</v>
      </c>
      <c r="M11" s="105">
        <f t="shared" si="25"/>
        <v>2.194</v>
      </c>
      <c r="N11" s="105">
        <f t="shared" si="25"/>
        <v>95.004999999999995</v>
      </c>
      <c r="O11" s="105">
        <f t="shared" si="19"/>
        <v>0.97400000000000375</v>
      </c>
      <c r="P11" s="164">
        <f t="shared" si="20"/>
        <v>101.02520919951581</v>
      </c>
      <c r="Q11" s="105">
        <f t="shared" ref="Q11:Q52" si="27">E11/12*7</f>
        <v>265.88333333333333</v>
      </c>
      <c r="R11" s="105">
        <f t="shared" si="21"/>
        <v>-169.90433333333334</v>
      </c>
      <c r="S11" s="164">
        <f t="shared" si="22"/>
        <v>36.09816335485489</v>
      </c>
      <c r="T11" s="164">
        <f t="shared" si="23"/>
        <v>21.057261956998683</v>
      </c>
      <c r="U11" s="106">
        <f>SUM(U12:U15)</f>
        <v>221.113</v>
      </c>
      <c r="V11" s="107">
        <f t="shared" si="24"/>
        <v>-125.134</v>
      </c>
      <c r="W11" s="108">
        <f>F11/U11*100</f>
        <v>43.407217124275817</v>
      </c>
      <c r="X11" s="69"/>
      <c r="Y11" s="69"/>
      <c r="Z11" s="69"/>
      <c r="AA11" s="70"/>
    </row>
    <row r="12" spans="1:38" s="75" customFormat="1" ht="39" x14ac:dyDescent="0.25">
      <c r="A12" s="72" t="s">
        <v>100</v>
      </c>
      <c r="B12" s="151" t="s">
        <v>121</v>
      </c>
      <c r="C12" s="159" t="s">
        <v>122</v>
      </c>
      <c r="D12" s="109">
        <v>32</v>
      </c>
      <c r="E12" s="109">
        <v>32</v>
      </c>
      <c r="F12" s="188">
        <f t="shared" si="14"/>
        <v>12.401</v>
      </c>
      <c r="G12" s="109">
        <v>0</v>
      </c>
      <c r="H12" s="182">
        <v>8.84</v>
      </c>
      <c r="I12" s="187">
        <v>0</v>
      </c>
      <c r="J12" s="187">
        <v>0</v>
      </c>
      <c r="K12" s="187">
        <v>3.5609999999999999</v>
      </c>
      <c r="L12" s="187">
        <v>0</v>
      </c>
      <c r="M12" s="109">
        <v>0</v>
      </c>
      <c r="N12" s="109">
        <v>12.4</v>
      </c>
      <c r="O12" s="109">
        <f t="shared" si="19"/>
        <v>9.9999999999944578E-4</v>
      </c>
      <c r="P12" s="165">
        <f t="shared" si="20"/>
        <v>100.00806451612902</v>
      </c>
      <c r="Q12" s="109">
        <f t="shared" si="27"/>
        <v>18.666666666666664</v>
      </c>
      <c r="R12" s="109">
        <f t="shared" si="21"/>
        <v>-6.2656666666666645</v>
      </c>
      <c r="S12" s="165">
        <f t="shared" si="22"/>
        <v>66.433928571428581</v>
      </c>
      <c r="T12" s="165">
        <f t="shared" si="23"/>
        <v>38.753124999999997</v>
      </c>
      <c r="U12" s="110">
        <v>13.048</v>
      </c>
      <c r="V12" s="111">
        <f t="shared" si="24"/>
        <v>-0.64700000000000024</v>
      </c>
      <c r="W12" s="112">
        <f>F12/U12*100</f>
        <v>95.041385652973631</v>
      </c>
      <c r="X12" s="73"/>
      <c r="Y12" s="73"/>
      <c r="Z12" s="73"/>
      <c r="AA12" s="74"/>
    </row>
    <row r="13" spans="1:38" s="75" customFormat="1" ht="58.5" x14ac:dyDescent="0.25">
      <c r="A13" s="72" t="s">
        <v>101</v>
      </c>
      <c r="B13" s="151" t="s">
        <v>93</v>
      </c>
      <c r="C13" s="59" t="s">
        <v>94</v>
      </c>
      <c r="D13" s="109">
        <v>305</v>
      </c>
      <c r="E13" s="109">
        <v>305</v>
      </c>
      <c r="F13" s="188">
        <f t="shared" si="14"/>
        <v>38.768000000000001</v>
      </c>
      <c r="G13" s="109">
        <v>0</v>
      </c>
      <c r="H13" s="182">
        <v>35.134999999999998</v>
      </c>
      <c r="I13" s="187">
        <v>0</v>
      </c>
      <c r="J13" s="187">
        <v>0</v>
      </c>
      <c r="K13" s="187">
        <v>3.633</v>
      </c>
      <c r="L13" s="187">
        <v>0</v>
      </c>
      <c r="M13" s="109">
        <v>0</v>
      </c>
      <c r="N13" s="109">
        <v>38</v>
      </c>
      <c r="O13" s="109">
        <f t="shared" si="19"/>
        <v>0.76800000000000068</v>
      </c>
      <c r="P13" s="165">
        <f t="shared" si="20"/>
        <v>102.02105263157894</v>
      </c>
      <c r="Q13" s="109">
        <f t="shared" si="27"/>
        <v>177.91666666666669</v>
      </c>
      <c r="R13" s="109">
        <f t="shared" si="21"/>
        <v>-139.14866666666668</v>
      </c>
      <c r="S13" s="165">
        <f t="shared" si="22"/>
        <v>21.78997658079625</v>
      </c>
      <c r="T13" s="165">
        <f t="shared" si="23"/>
        <v>12.71081967213115</v>
      </c>
      <c r="U13" s="110">
        <v>165.25800000000001</v>
      </c>
      <c r="V13" s="111">
        <f t="shared" si="24"/>
        <v>-126.49000000000001</v>
      </c>
      <c r="W13" s="112">
        <f t="shared" ref="W13:W23" si="28">F13/U13*100</f>
        <v>23.459076111292646</v>
      </c>
    </row>
    <row r="14" spans="1:38" s="75" customFormat="1" ht="39" x14ac:dyDescent="0.25">
      <c r="A14" s="72" t="s">
        <v>102</v>
      </c>
      <c r="B14" s="151" t="s">
        <v>119</v>
      </c>
      <c r="C14" s="59" t="s">
        <v>97</v>
      </c>
      <c r="D14" s="109">
        <v>117</v>
      </c>
      <c r="E14" s="109">
        <v>117</v>
      </c>
      <c r="F14" s="188">
        <f t="shared" si="14"/>
        <v>44.443000000000005</v>
      </c>
      <c r="G14" s="109">
        <v>0.97799999999999998</v>
      </c>
      <c r="H14" s="182">
        <v>17.292999999999999</v>
      </c>
      <c r="I14" s="187">
        <v>1.4999999999999999E-2</v>
      </c>
      <c r="J14" s="187">
        <v>2</v>
      </c>
      <c r="K14" s="187">
        <v>21.701000000000001</v>
      </c>
      <c r="L14" s="187">
        <v>0.26200000000000001</v>
      </c>
      <c r="M14" s="109">
        <v>2.194</v>
      </c>
      <c r="N14" s="109">
        <v>44.244999999999997</v>
      </c>
      <c r="O14" s="109">
        <f t="shared" si="19"/>
        <v>0.1980000000000075</v>
      </c>
      <c r="P14" s="165">
        <f t="shared" si="20"/>
        <v>100.44750819301618</v>
      </c>
      <c r="Q14" s="109">
        <f t="shared" si="27"/>
        <v>68.25</v>
      </c>
      <c r="R14" s="109">
        <f t="shared" si="21"/>
        <v>-23.806999999999995</v>
      </c>
      <c r="S14" s="165">
        <f t="shared" si="22"/>
        <v>65.117948717948721</v>
      </c>
      <c r="T14" s="165">
        <f t="shared" si="23"/>
        <v>37.985470085470091</v>
      </c>
      <c r="U14" s="110">
        <v>41.288999999999994</v>
      </c>
      <c r="V14" s="111">
        <f t="shared" si="24"/>
        <v>3.1540000000000106</v>
      </c>
      <c r="W14" s="112">
        <f t="shared" si="28"/>
        <v>107.63883843154353</v>
      </c>
    </row>
    <row r="15" spans="1:38" s="75" customFormat="1" ht="39" x14ac:dyDescent="0.25">
      <c r="A15" s="72" t="s">
        <v>123</v>
      </c>
      <c r="B15" s="151" t="s">
        <v>118</v>
      </c>
      <c r="C15" s="59" t="s">
        <v>117</v>
      </c>
      <c r="D15" s="109">
        <v>1.8</v>
      </c>
      <c r="E15" s="109">
        <v>1.8</v>
      </c>
      <c r="F15" s="188">
        <f t="shared" si="14"/>
        <v>0.36699999999999999</v>
      </c>
      <c r="G15" s="109">
        <v>0</v>
      </c>
      <c r="H15" s="182">
        <v>0.183</v>
      </c>
      <c r="I15" s="187">
        <v>0</v>
      </c>
      <c r="J15" s="187">
        <v>0</v>
      </c>
      <c r="K15" s="187">
        <v>0.184</v>
      </c>
      <c r="L15" s="187">
        <v>0</v>
      </c>
      <c r="M15" s="109">
        <v>0</v>
      </c>
      <c r="N15" s="109">
        <v>0.36</v>
      </c>
      <c r="O15" s="109">
        <f t="shared" si="19"/>
        <v>7.0000000000000062E-3</v>
      </c>
      <c r="P15" s="165">
        <f t="shared" si="20"/>
        <v>101.94444444444444</v>
      </c>
      <c r="Q15" s="109">
        <f t="shared" si="27"/>
        <v>1.05</v>
      </c>
      <c r="R15" s="109">
        <f t="shared" si="21"/>
        <v>-0.68300000000000005</v>
      </c>
      <c r="S15" s="165">
        <f t="shared" si="22"/>
        <v>34.952380952380949</v>
      </c>
      <c r="T15" s="165">
        <f t="shared" si="23"/>
        <v>20.388888888888886</v>
      </c>
      <c r="U15" s="110">
        <v>1.5179999999999998</v>
      </c>
      <c r="V15" s="111">
        <f t="shared" si="24"/>
        <v>-1.1509999999999998</v>
      </c>
      <c r="W15" s="112">
        <f t="shared" si="28"/>
        <v>24.17654808959157</v>
      </c>
    </row>
    <row r="16" spans="1:38" s="71" customFormat="1" ht="23.25" x14ac:dyDescent="0.25">
      <c r="A16" s="67">
        <v>4</v>
      </c>
      <c r="B16" s="94" t="s">
        <v>84</v>
      </c>
      <c r="C16" s="90" t="s">
        <v>83</v>
      </c>
      <c r="D16" s="105">
        <f>D17+D20</f>
        <v>459000</v>
      </c>
      <c r="E16" s="105">
        <f>E17+E20</f>
        <v>452281</v>
      </c>
      <c r="F16" s="106">
        <f t="shared" si="14"/>
        <v>263898.87400000001</v>
      </c>
      <c r="G16" s="105">
        <f t="shared" ref="G16:N16" si="29">G17+G20</f>
        <v>40518.83</v>
      </c>
      <c r="H16" s="105">
        <f t="shared" ref="H16:L16" si="30">H17+H20</f>
        <v>25927.566999999999</v>
      </c>
      <c r="I16" s="186">
        <f t="shared" si="30"/>
        <v>34284.724000000002</v>
      </c>
      <c r="J16" s="186">
        <f t="shared" si="30"/>
        <v>36373.17</v>
      </c>
      <c r="K16" s="186">
        <f t="shared" si="30"/>
        <v>40859.608999999997</v>
      </c>
      <c r="L16" s="186">
        <f t="shared" si="30"/>
        <v>41323.623000000007</v>
      </c>
      <c r="M16" s="105">
        <f t="shared" si="29"/>
        <v>44611.351000000002</v>
      </c>
      <c r="N16" s="105">
        <f t="shared" si="29"/>
        <v>261745.6</v>
      </c>
      <c r="O16" s="105">
        <f t="shared" si="19"/>
        <v>2153.2740000000049</v>
      </c>
      <c r="P16" s="164">
        <f t="shared" si="20"/>
        <v>100.82265910105079</v>
      </c>
      <c r="Q16" s="105">
        <f t="shared" si="27"/>
        <v>263830.58333333337</v>
      </c>
      <c r="R16" s="105">
        <f t="shared" si="21"/>
        <v>68.290666666638572</v>
      </c>
      <c r="S16" s="164">
        <f t="shared" si="22"/>
        <v>100.02588428748625</v>
      </c>
      <c r="T16" s="164">
        <f t="shared" si="23"/>
        <v>58.348432501033656</v>
      </c>
      <c r="U16" s="106">
        <f>U17+U20</f>
        <v>231018.473</v>
      </c>
      <c r="V16" s="107">
        <f t="shared" si="24"/>
        <v>32880.401000000013</v>
      </c>
      <c r="W16" s="108">
        <f t="shared" si="28"/>
        <v>114.23280163400614</v>
      </c>
    </row>
    <row r="17" spans="1:26" s="75" customFormat="1" ht="39" x14ac:dyDescent="0.25">
      <c r="A17" s="72" t="s">
        <v>113</v>
      </c>
      <c r="B17" s="151" t="s">
        <v>146</v>
      </c>
      <c r="C17" s="218" t="s">
        <v>152</v>
      </c>
      <c r="D17" s="109">
        <f>SUM(D18:D19)</f>
        <v>153000</v>
      </c>
      <c r="E17" s="109">
        <f>SUM(E18:E19)</f>
        <v>153000</v>
      </c>
      <c r="F17" s="188">
        <f t="shared" si="14"/>
        <v>95121.072</v>
      </c>
      <c r="G17" s="109">
        <f t="shared" ref="G17:N17" si="31">SUM(G18:G19)</f>
        <v>13410.271999999999</v>
      </c>
      <c r="H17" s="182">
        <f t="shared" ref="H17:L17" si="32">SUM(H18:H19)</f>
        <v>10447.121999999999</v>
      </c>
      <c r="I17" s="187">
        <f t="shared" si="32"/>
        <v>12704.659</v>
      </c>
      <c r="J17" s="187">
        <f t="shared" si="32"/>
        <v>14001.805999999999</v>
      </c>
      <c r="K17" s="187">
        <f t="shared" si="32"/>
        <v>14278.18</v>
      </c>
      <c r="L17" s="187">
        <f t="shared" si="32"/>
        <v>14547.359</v>
      </c>
      <c r="M17" s="109">
        <f t="shared" si="31"/>
        <v>15731.674000000001</v>
      </c>
      <c r="N17" s="109">
        <f t="shared" si="31"/>
        <v>93945</v>
      </c>
      <c r="O17" s="109">
        <f t="shared" si="19"/>
        <v>1176.0720000000001</v>
      </c>
      <c r="P17" s="165">
        <f t="shared" si="20"/>
        <v>101.25187290435893</v>
      </c>
      <c r="Q17" s="109">
        <f t="shared" si="27"/>
        <v>89250</v>
      </c>
      <c r="R17" s="109">
        <f t="shared" si="21"/>
        <v>5871.0720000000001</v>
      </c>
      <c r="S17" s="165">
        <f t="shared" si="22"/>
        <v>106.57823193277312</v>
      </c>
      <c r="T17" s="165">
        <f t="shared" si="23"/>
        <v>62.170635294117652</v>
      </c>
      <c r="U17" s="110">
        <f>SUM(U18:U19)</f>
        <v>71133.157000000007</v>
      </c>
      <c r="V17" s="111">
        <f t="shared" si="24"/>
        <v>23987.914999999994</v>
      </c>
      <c r="W17" s="112">
        <f t="shared" si="28"/>
        <v>133.72255079301485</v>
      </c>
    </row>
    <row r="18" spans="1:26" s="75" customFormat="1" ht="23.25" x14ac:dyDescent="0.25">
      <c r="A18" s="72" t="s">
        <v>142</v>
      </c>
      <c r="B18" s="151" t="s">
        <v>87</v>
      </c>
      <c r="C18" s="218"/>
      <c r="D18" s="109">
        <v>34000</v>
      </c>
      <c r="E18" s="109">
        <v>34000</v>
      </c>
      <c r="F18" s="188">
        <f t="shared" si="14"/>
        <v>15092.472</v>
      </c>
      <c r="G18" s="109">
        <v>1880.6579999999999</v>
      </c>
      <c r="H18" s="182">
        <v>1575.9369999999999</v>
      </c>
      <c r="I18" s="187">
        <v>2017.0070000000001</v>
      </c>
      <c r="J18" s="187">
        <v>2418.721</v>
      </c>
      <c r="K18" s="187">
        <v>2057.7310000000002</v>
      </c>
      <c r="L18" s="187">
        <v>2219.3890000000001</v>
      </c>
      <c r="M18" s="109">
        <v>2923.029</v>
      </c>
      <c r="N18" s="109">
        <v>14945</v>
      </c>
      <c r="O18" s="109">
        <f t="shared" si="19"/>
        <v>147.47199999999975</v>
      </c>
      <c r="P18" s="165">
        <f t="shared" si="20"/>
        <v>100.98676480428237</v>
      </c>
      <c r="Q18" s="109">
        <f t="shared" si="27"/>
        <v>19833.333333333336</v>
      </c>
      <c r="R18" s="109">
        <f t="shared" si="21"/>
        <v>-4740.861333333336</v>
      </c>
      <c r="S18" s="165">
        <f t="shared" si="22"/>
        <v>76.09649747899158</v>
      </c>
      <c r="T18" s="165">
        <f t="shared" si="23"/>
        <v>44.389623529411764</v>
      </c>
      <c r="U18" s="110">
        <v>13521.728999999999</v>
      </c>
      <c r="V18" s="111">
        <f t="shared" si="24"/>
        <v>1570.7430000000004</v>
      </c>
      <c r="W18" s="112">
        <f t="shared" si="28"/>
        <v>111.61643603417876</v>
      </c>
      <c r="X18" s="73">
        <f>U18+U19</f>
        <v>71133.157000000007</v>
      </c>
      <c r="Y18" s="73">
        <f>F18+F19</f>
        <v>95121.072</v>
      </c>
    </row>
    <row r="19" spans="1:26" s="75" customFormat="1" ht="39" x14ac:dyDescent="0.25">
      <c r="A19" s="72" t="s">
        <v>143</v>
      </c>
      <c r="B19" s="151" t="s">
        <v>88</v>
      </c>
      <c r="C19" s="218"/>
      <c r="D19" s="109">
        <v>119000</v>
      </c>
      <c r="E19" s="109">
        <v>119000</v>
      </c>
      <c r="F19" s="188">
        <f t="shared" si="14"/>
        <v>80028.600000000006</v>
      </c>
      <c r="G19" s="109">
        <v>11529.614</v>
      </c>
      <c r="H19" s="182">
        <v>8871.1849999999995</v>
      </c>
      <c r="I19" s="187">
        <v>10687.652</v>
      </c>
      <c r="J19" s="187">
        <v>11583.084999999999</v>
      </c>
      <c r="K19" s="187">
        <v>12220.449000000001</v>
      </c>
      <c r="L19" s="187">
        <v>12327.97</v>
      </c>
      <c r="M19" s="109">
        <v>12808.645</v>
      </c>
      <c r="N19" s="109">
        <v>79000</v>
      </c>
      <c r="O19" s="109">
        <f t="shared" si="19"/>
        <v>1028.6000000000058</v>
      </c>
      <c r="P19" s="165">
        <f t="shared" si="20"/>
        <v>101.30202531645571</v>
      </c>
      <c r="Q19" s="109">
        <f t="shared" si="27"/>
        <v>69416.666666666657</v>
      </c>
      <c r="R19" s="109">
        <f t="shared" si="21"/>
        <v>10611.933333333349</v>
      </c>
      <c r="S19" s="165">
        <f t="shared" si="22"/>
        <v>115.28729891956786</v>
      </c>
      <c r="T19" s="165">
        <f t="shared" si="23"/>
        <v>67.250924369747906</v>
      </c>
      <c r="U19" s="110">
        <v>57611.428</v>
      </c>
      <c r="V19" s="111">
        <f t="shared" si="24"/>
        <v>22417.172000000006</v>
      </c>
      <c r="W19" s="112">
        <f t="shared" si="28"/>
        <v>138.91098134210455</v>
      </c>
    </row>
    <row r="20" spans="1:26" s="75" customFormat="1" ht="39" x14ac:dyDescent="0.25">
      <c r="A20" s="72" t="s">
        <v>114</v>
      </c>
      <c r="B20" s="151" t="s">
        <v>89</v>
      </c>
      <c r="C20" s="59" t="s">
        <v>56</v>
      </c>
      <c r="D20" s="109">
        <f t="shared" ref="D20:E20" si="33">SUM(D21:D22)</f>
        <v>306000</v>
      </c>
      <c r="E20" s="109">
        <f t="shared" si="33"/>
        <v>299281</v>
      </c>
      <c r="F20" s="188">
        <f t="shared" si="14"/>
        <v>168777.802</v>
      </c>
      <c r="G20" s="109">
        <f t="shared" ref="G20:N20" si="34">SUM(G21:G22)</f>
        <v>27108.558000000001</v>
      </c>
      <c r="H20" s="182">
        <f t="shared" ref="H20:L20" si="35">SUM(H21:H22)</f>
        <v>15480.445</v>
      </c>
      <c r="I20" s="187">
        <f t="shared" si="35"/>
        <v>21580.065000000002</v>
      </c>
      <c r="J20" s="187">
        <f t="shared" si="35"/>
        <v>22371.364000000001</v>
      </c>
      <c r="K20" s="187">
        <f t="shared" si="35"/>
        <v>26581.429</v>
      </c>
      <c r="L20" s="187">
        <f t="shared" si="35"/>
        <v>26776.264000000003</v>
      </c>
      <c r="M20" s="109">
        <f t="shared" si="34"/>
        <v>28879.677</v>
      </c>
      <c r="N20" s="109">
        <f t="shared" si="34"/>
        <v>167800.6</v>
      </c>
      <c r="O20" s="109">
        <f t="shared" si="19"/>
        <v>977.20199999999022</v>
      </c>
      <c r="P20" s="165">
        <f t="shared" si="20"/>
        <v>100.58235906188655</v>
      </c>
      <c r="Q20" s="109">
        <f t="shared" si="27"/>
        <v>174580.58333333331</v>
      </c>
      <c r="R20" s="109">
        <f t="shared" si="21"/>
        <v>-5802.7813333333179</v>
      </c>
      <c r="S20" s="165">
        <f t="shared" si="22"/>
        <v>96.676158813002786</v>
      </c>
      <c r="T20" s="165">
        <f t="shared" si="23"/>
        <v>56.394425974251618</v>
      </c>
      <c r="U20" s="110">
        <f>U21+U22</f>
        <v>159885.31599999999</v>
      </c>
      <c r="V20" s="111">
        <f t="shared" si="24"/>
        <v>8892.4860000000044</v>
      </c>
      <c r="W20" s="112">
        <f t="shared" si="28"/>
        <v>105.56179030224388</v>
      </c>
    </row>
    <row r="21" spans="1:26" s="75" customFormat="1" ht="78" x14ac:dyDescent="0.25">
      <c r="A21" s="72" t="s">
        <v>144</v>
      </c>
      <c r="B21" s="151" t="s">
        <v>128</v>
      </c>
      <c r="C21" s="59">
        <v>14040100</v>
      </c>
      <c r="D21" s="109">
        <v>179000</v>
      </c>
      <c r="E21" s="109">
        <v>172281</v>
      </c>
      <c r="F21" s="188">
        <f t="shared" si="14"/>
        <v>98034.385999999999</v>
      </c>
      <c r="G21" s="109">
        <v>15616.877</v>
      </c>
      <c r="H21" s="182">
        <v>7234.652</v>
      </c>
      <c r="I21" s="187">
        <v>12636.714</v>
      </c>
      <c r="J21" s="187">
        <v>12694.672</v>
      </c>
      <c r="K21" s="187">
        <v>16717.552</v>
      </c>
      <c r="L21" s="187">
        <v>15685.031000000001</v>
      </c>
      <c r="M21" s="109">
        <v>17448.887999999999</v>
      </c>
      <c r="N21" s="109">
        <v>97330.6</v>
      </c>
      <c r="O21" s="109">
        <f t="shared" si="19"/>
        <v>703.78599999999278</v>
      </c>
      <c r="P21" s="165">
        <f t="shared" si="20"/>
        <v>100.72308811411827</v>
      </c>
      <c r="Q21" s="109">
        <f t="shared" si="27"/>
        <v>100497.25</v>
      </c>
      <c r="R21" s="109">
        <f t="shared" si="21"/>
        <v>-2462.8640000000014</v>
      </c>
      <c r="S21" s="165">
        <f t="shared" si="22"/>
        <v>97.549321996373024</v>
      </c>
      <c r="T21" s="165">
        <f t="shared" si="23"/>
        <v>56.903771164550932</v>
      </c>
      <c r="U21" s="110">
        <v>95091.113000000012</v>
      </c>
      <c r="V21" s="111">
        <f t="shared" si="24"/>
        <v>2943.2729999999865</v>
      </c>
      <c r="W21" s="112">
        <f t="shared" si="28"/>
        <v>103.09521353483369</v>
      </c>
    </row>
    <row r="22" spans="1:26" s="75" customFormat="1" ht="58.5" x14ac:dyDescent="0.25">
      <c r="A22" s="72" t="s">
        <v>145</v>
      </c>
      <c r="B22" s="151" t="s">
        <v>129</v>
      </c>
      <c r="C22" s="59">
        <v>14040200</v>
      </c>
      <c r="D22" s="109">
        <v>127000</v>
      </c>
      <c r="E22" s="109">
        <v>127000</v>
      </c>
      <c r="F22" s="188">
        <f t="shared" si="14"/>
        <v>70743.416000000012</v>
      </c>
      <c r="G22" s="109">
        <v>11491.681</v>
      </c>
      <c r="H22" s="182">
        <v>8245.7929999999997</v>
      </c>
      <c r="I22" s="187">
        <v>8943.3510000000006</v>
      </c>
      <c r="J22" s="187">
        <v>9676.6919999999991</v>
      </c>
      <c r="K22" s="187">
        <v>9863.8770000000004</v>
      </c>
      <c r="L22" s="187">
        <v>11091.233</v>
      </c>
      <c r="M22" s="109">
        <v>11430.789000000001</v>
      </c>
      <c r="N22" s="109">
        <v>70470</v>
      </c>
      <c r="O22" s="109">
        <f t="shared" si="19"/>
        <v>273.41600000001199</v>
      </c>
      <c r="P22" s="165">
        <f t="shared" si="20"/>
        <v>100.38798921526893</v>
      </c>
      <c r="Q22" s="109">
        <f t="shared" si="27"/>
        <v>74083.333333333343</v>
      </c>
      <c r="R22" s="109">
        <f t="shared" si="21"/>
        <v>-3339.917333333331</v>
      </c>
      <c r="S22" s="165">
        <f t="shared" si="22"/>
        <v>95.491675140607427</v>
      </c>
      <c r="T22" s="165">
        <f t="shared" si="23"/>
        <v>55.703477165354343</v>
      </c>
      <c r="U22" s="110">
        <v>64794.202999999994</v>
      </c>
      <c r="V22" s="111">
        <f t="shared" si="24"/>
        <v>5949.2130000000179</v>
      </c>
      <c r="W22" s="112">
        <f t="shared" si="28"/>
        <v>109.1817056535135</v>
      </c>
    </row>
    <row r="23" spans="1:26" s="95" customFormat="1" ht="23.25" x14ac:dyDescent="0.25">
      <c r="A23" s="67">
        <v>5</v>
      </c>
      <c r="B23" s="76" t="s">
        <v>186</v>
      </c>
      <c r="C23" s="68" t="s">
        <v>130</v>
      </c>
      <c r="D23" s="105">
        <v>0</v>
      </c>
      <c r="E23" s="105">
        <v>0</v>
      </c>
      <c r="F23" s="106">
        <f t="shared" si="14"/>
        <v>1.867</v>
      </c>
      <c r="G23" s="105">
        <v>0</v>
      </c>
      <c r="H23" s="186">
        <v>0</v>
      </c>
      <c r="I23" s="186">
        <v>1.867</v>
      </c>
      <c r="J23" s="186"/>
      <c r="K23" s="186"/>
      <c r="L23" s="186"/>
      <c r="M23" s="105"/>
      <c r="N23" s="105"/>
      <c r="O23" s="105">
        <f t="shared" si="19"/>
        <v>1.867</v>
      </c>
      <c r="P23" s="164"/>
      <c r="Q23" s="105">
        <f t="shared" si="27"/>
        <v>0</v>
      </c>
      <c r="R23" s="105">
        <f t="shared" si="21"/>
        <v>1.867</v>
      </c>
      <c r="S23" s="164"/>
      <c r="T23" s="164"/>
      <c r="U23" s="106">
        <v>1.2E-2</v>
      </c>
      <c r="V23" s="107">
        <f t="shared" si="24"/>
        <v>1.855</v>
      </c>
      <c r="W23" s="108">
        <f t="shared" si="28"/>
        <v>15558.333333333334</v>
      </c>
      <c r="X23" s="131"/>
      <c r="Y23" s="131"/>
    </row>
    <row r="24" spans="1:26" s="95" customFormat="1" ht="39" x14ac:dyDescent="0.25">
      <c r="A24" s="67">
        <v>5</v>
      </c>
      <c r="B24" s="76" t="s">
        <v>127</v>
      </c>
      <c r="C24" s="68" t="s">
        <v>38</v>
      </c>
      <c r="D24" s="105">
        <f>D25+D26+D27+D29+D28</f>
        <v>1522620.5</v>
      </c>
      <c r="E24" s="105">
        <f>E25+E26+E27+E29+E28</f>
        <v>1541318.6140000001</v>
      </c>
      <c r="F24" s="106">
        <f t="shared" si="14"/>
        <v>989258.07900000014</v>
      </c>
      <c r="G24" s="105">
        <f t="shared" ref="G24:N24" si="36">G25+G26+G27+G29+G28</f>
        <v>166303.29399999999</v>
      </c>
      <c r="H24" s="105">
        <f t="shared" ref="H24:L24" si="37">H25+H26+H27+H29+H28</f>
        <v>166294.84599999999</v>
      </c>
      <c r="I24" s="186">
        <f t="shared" si="37"/>
        <v>80628.866000000009</v>
      </c>
      <c r="J24" s="186">
        <f t="shared" si="37"/>
        <v>168253.326</v>
      </c>
      <c r="K24" s="186">
        <f t="shared" si="37"/>
        <v>145102.02800000002</v>
      </c>
      <c r="L24" s="186">
        <f t="shared" si="37"/>
        <v>74999.922000000006</v>
      </c>
      <c r="M24" s="105">
        <f t="shared" si="36"/>
        <v>187675.79700000002</v>
      </c>
      <c r="N24" s="105">
        <f t="shared" si="36"/>
        <v>967711.59100000001</v>
      </c>
      <c r="O24" s="105">
        <f t="shared" si="19"/>
        <v>21546.488000000129</v>
      </c>
      <c r="P24" s="164">
        <f t="shared" si="20"/>
        <v>102.22654024198829</v>
      </c>
      <c r="Q24" s="105">
        <f t="shared" si="27"/>
        <v>899102.52483333345</v>
      </c>
      <c r="R24" s="105">
        <f t="shared" si="21"/>
        <v>90155.554166666698</v>
      </c>
      <c r="S24" s="164">
        <f t="shared" si="22"/>
        <v>110.02728294900281</v>
      </c>
      <c r="T24" s="164">
        <f t="shared" si="23"/>
        <v>64.182581720251648</v>
      </c>
      <c r="U24" s="106">
        <f t="shared" ref="U24" si="38">U25+U26+U27+U29+U28</f>
        <v>758941.26700000011</v>
      </c>
      <c r="V24" s="107">
        <f t="shared" si="24"/>
        <v>230316.81200000003</v>
      </c>
      <c r="W24" s="108">
        <f t="shared" ref="W24:W31" si="39">F24/U24*100</f>
        <v>130.34711933776029</v>
      </c>
      <c r="X24" s="131">
        <f>U26+U27+U25</f>
        <v>269053.739</v>
      </c>
      <c r="Y24" s="131">
        <f>F25+F26+F27</f>
        <v>321709.85200000001</v>
      </c>
    </row>
    <row r="25" spans="1:26" s="97" customFormat="1" ht="23.25" x14ac:dyDescent="0.25">
      <c r="A25" s="96" t="s">
        <v>161</v>
      </c>
      <c r="B25" s="152" t="s">
        <v>57</v>
      </c>
      <c r="C25" s="219" t="s">
        <v>44</v>
      </c>
      <c r="D25" s="109">
        <f>1130+29500+34000+106300</f>
        <v>170930</v>
      </c>
      <c r="E25" s="109">
        <f>1130+29500+34000+106300</f>
        <v>170930</v>
      </c>
      <c r="F25" s="188">
        <f t="shared" si="14"/>
        <v>128840.38900000001</v>
      </c>
      <c r="G25" s="109">
        <v>22984.595000000001</v>
      </c>
      <c r="H25" s="182">
        <v>12356.476000000001</v>
      </c>
      <c r="I25" s="187">
        <v>11892.504000000001</v>
      </c>
      <c r="J25" s="187">
        <v>25969.126</v>
      </c>
      <c r="K25" s="187">
        <v>12545.951999999999</v>
      </c>
      <c r="L25" s="187">
        <v>11104.888000000001</v>
      </c>
      <c r="M25" s="109">
        <v>31986.848000000002</v>
      </c>
      <c r="N25" s="109">
        <v>128061.789</v>
      </c>
      <c r="O25" s="109">
        <f t="shared" si="19"/>
        <v>778.60000000000582</v>
      </c>
      <c r="P25" s="165">
        <f t="shared" si="20"/>
        <v>100.60798775815947</v>
      </c>
      <c r="Q25" s="109">
        <f t="shared" si="27"/>
        <v>99709.166666666657</v>
      </c>
      <c r="R25" s="109">
        <f t="shared" si="21"/>
        <v>29131.222333333353</v>
      </c>
      <c r="S25" s="165">
        <f t="shared" si="22"/>
        <v>129.21619276061213</v>
      </c>
      <c r="T25" s="165">
        <f t="shared" si="23"/>
        <v>75.376112443690403</v>
      </c>
      <c r="U25" s="110">
        <v>94366.803</v>
      </c>
      <c r="V25" s="111">
        <f t="shared" si="24"/>
        <v>34473.58600000001</v>
      </c>
      <c r="W25" s="112">
        <f t="shared" si="39"/>
        <v>136.53147601068991</v>
      </c>
    </row>
    <row r="26" spans="1:26" s="97" customFormat="1" ht="23.25" x14ac:dyDescent="0.25">
      <c r="A26" s="72" t="s">
        <v>162</v>
      </c>
      <c r="B26" s="152" t="s">
        <v>7</v>
      </c>
      <c r="C26" s="219"/>
      <c r="D26" s="109">
        <f>139000+145000+28500+14000</f>
        <v>326500</v>
      </c>
      <c r="E26" s="109">
        <f>139000+145000+28500+14000</f>
        <v>326500</v>
      </c>
      <c r="F26" s="188">
        <f t="shared" si="14"/>
        <v>190798.09400000001</v>
      </c>
      <c r="G26" s="109">
        <v>22702.335999999999</v>
      </c>
      <c r="H26" s="182">
        <v>31099.098999999998</v>
      </c>
      <c r="I26" s="187">
        <v>28599.886999999999</v>
      </c>
      <c r="J26" s="187">
        <v>26354.705000000002</v>
      </c>
      <c r="K26" s="187">
        <v>26764.896000000001</v>
      </c>
      <c r="L26" s="187">
        <v>25701.331999999999</v>
      </c>
      <c r="M26" s="109">
        <v>29575.839</v>
      </c>
      <c r="N26" s="109">
        <v>186165</v>
      </c>
      <c r="O26" s="109">
        <f t="shared" si="19"/>
        <v>4633.0940000000119</v>
      </c>
      <c r="P26" s="165">
        <f t="shared" si="20"/>
        <v>102.48870303225634</v>
      </c>
      <c r="Q26" s="109">
        <f t="shared" si="27"/>
        <v>190458.33333333331</v>
      </c>
      <c r="R26" s="109">
        <f t="shared" si="21"/>
        <v>339.76066666669794</v>
      </c>
      <c r="S26" s="165">
        <f t="shared" si="22"/>
        <v>100.17839107416322</v>
      </c>
      <c r="T26" s="165">
        <f t="shared" si="23"/>
        <v>58.437394793261873</v>
      </c>
      <c r="U26" s="110">
        <v>173569.533</v>
      </c>
      <c r="V26" s="111">
        <f t="shared" si="24"/>
        <v>17228.561000000016</v>
      </c>
      <c r="W26" s="112">
        <f t="shared" si="39"/>
        <v>109.92602831972822</v>
      </c>
    </row>
    <row r="27" spans="1:26" s="97" customFormat="1" ht="23.25" x14ac:dyDescent="0.25">
      <c r="A27" s="72" t="s">
        <v>163</v>
      </c>
      <c r="B27" s="152" t="s">
        <v>58</v>
      </c>
      <c r="C27" s="219"/>
      <c r="D27" s="109">
        <f>1000+980.5</f>
        <v>1980.5</v>
      </c>
      <c r="E27" s="109">
        <f>1000+980.5</f>
        <v>1980.5</v>
      </c>
      <c r="F27" s="188">
        <f t="shared" si="14"/>
        <v>2071.3689999999997</v>
      </c>
      <c r="G27" s="109">
        <v>305.23899999999998</v>
      </c>
      <c r="H27" s="182">
        <v>303.30200000000002</v>
      </c>
      <c r="I27" s="187">
        <v>121.78100000000001</v>
      </c>
      <c r="J27" s="187">
        <v>300.91000000000003</v>
      </c>
      <c r="K27" s="187">
        <v>144.66300000000001</v>
      </c>
      <c r="L27" s="187">
        <v>300.26299999999998</v>
      </c>
      <c r="M27" s="109">
        <v>595.21100000000001</v>
      </c>
      <c r="N27" s="109">
        <v>1942.5</v>
      </c>
      <c r="O27" s="109">
        <f t="shared" si="19"/>
        <v>128.86899999999969</v>
      </c>
      <c r="P27" s="165">
        <f t="shared" si="20"/>
        <v>106.63418275418275</v>
      </c>
      <c r="Q27" s="109">
        <f t="shared" si="27"/>
        <v>1155.2916666666665</v>
      </c>
      <c r="R27" s="109">
        <f t="shared" si="21"/>
        <v>916.07733333333317</v>
      </c>
      <c r="S27" s="165">
        <f t="shared" si="22"/>
        <v>179.29403108883037</v>
      </c>
      <c r="T27" s="165">
        <f t="shared" si="23"/>
        <v>104.5881848018177</v>
      </c>
      <c r="U27" s="110">
        <v>1117.403</v>
      </c>
      <c r="V27" s="111">
        <f t="shared" si="24"/>
        <v>953.96599999999967</v>
      </c>
      <c r="W27" s="112">
        <f t="shared" si="39"/>
        <v>185.37349550699253</v>
      </c>
      <c r="X27" s="112">
        <f>100-W27</f>
        <v>-85.373495506992526</v>
      </c>
      <c r="Y27" s="98"/>
      <c r="Z27" s="99" t="e">
        <f>F25/#REF!*100</f>
        <v>#REF!</v>
      </c>
    </row>
    <row r="28" spans="1:26" s="101" customFormat="1" ht="23.25" x14ac:dyDescent="0.25">
      <c r="A28" s="72" t="s">
        <v>164</v>
      </c>
      <c r="B28" s="152" t="s">
        <v>40</v>
      </c>
      <c r="C28" s="100" t="s">
        <v>39</v>
      </c>
      <c r="D28" s="109">
        <v>2710</v>
      </c>
      <c r="E28" s="109">
        <v>2710</v>
      </c>
      <c r="F28" s="188">
        <f t="shared" si="14"/>
        <v>1724.0039999999999</v>
      </c>
      <c r="G28" s="109">
        <v>229.9</v>
      </c>
      <c r="H28" s="182">
        <v>363.15800000000002</v>
      </c>
      <c r="I28" s="187">
        <v>125.917</v>
      </c>
      <c r="J28" s="187">
        <v>263.55799999999999</v>
      </c>
      <c r="K28" s="187">
        <v>277.60500000000002</v>
      </c>
      <c r="L28" s="187">
        <v>148.494</v>
      </c>
      <c r="M28" s="109">
        <v>315.37200000000001</v>
      </c>
      <c r="N28" s="109">
        <v>1700</v>
      </c>
      <c r="O28" s="109">
        <f t="shared" si="19"/>
        <v>24.003999999999905</v>
      </c>
      <c r="P28" s="165">
        <f t="shared" si="20"/>
        <v>101.41199999999999</v>
      </c>
      <c r="Q28" s="109">
        <f t="shared" si="27"/>
        <v>1580.8333333333335</v>
      </c>
      <c r="R28" s="109">
        <f t="shared" si="21"/>
        <v>143.17066666666642</v>
      </c>
      <c r="S28" s="165">
        <f t="shared" si="22"/>
        <v>109.05665788086452</v>
      </c>
      <c r="T28" s="165">
        <f t="shared" si="23"/>
        <v>63.616383763837639</v>
      </c>
      <c r="U28" s="110">
        <v>1305.3589999999999</v>
      </c>
      <c r="V28" s="109">
        <f t="shared" si="24"/>
        <v>418.64499999999998</v>
      </c>
      <c r="W28" s="112">
        <f t="shared" si="39"/>
        <v>132.07125396155388</v>
      </c>
    </row>
    <row r="29" spans="1:26" s="97" customFormat="1" ht="23.25" x14ac:dyDescent="0.25">
      <c r="A29" s="72" t="s">
        <v>165</v>
      </c>
      <c r="B29" s="152" t="s">
        <v>33</v>
      </c>
      <c r="C29" s="160" t="s">
        <v>34</v>
      </c>
      <c r="D29" s="109">
        <v>1020500</v>
      </c>
      <c r="E29" s="109">
        <v>1039198.1139999999</v>
      </c>
      <c r="F29" s="188">
        <f t="shared" si="14"/>
        <v>665824.223</v>
      </c>
      <c r="G29" s="109">
        <v>120081.224</v>
      </c>
      <c r="H29" s="182">
        <v>122172.811</v>
      </c>
      <c r="I29" s="187">
        <v>39888.777000000002</v>
      </c>
      <c r="J29" s="187">
        <v>115365.027</v>
      </c>
      <c r="K29" s="187">
        <v>105368.912</v>
      </c>
      <c r="L29" s="187">
        <v>37744.945</v>
      </c>
      <c r="M29" s="109">
        <v>125202.527</v>
      </c>
      <c r="N29" s="109">
        <v>649842.30200000003</v>
      </c>
      <c r="O29" s="109">
        <f t="shared" si="19"/>
        <v>15981.920999999973</v>
      </c>
      <c r="P29" s="165">
        <f t="shared" si="20"/>
        <v>102.45935374641093</v>
      </c>
      <c r="Q29" s="109">
        <f t="shared" si="27"/>
        <v>606198.89983333333</v>
      </c>
      <c r="R29" s="109">
        <f t="shared" si="21"/>
        <v>59625.323166666669</v>
      </c>
      <c r="S29" s="165">
        <f t="shared" si="22"/>
        <v>109.83593391262502</v>
      </c>
      <c r="T29" s="165">
        <f t="shared" si="23"/>
        <v>64.070961449031273</v>
      </c>
      <c r="U29" s="110">
        <v>488582.16899999999</v>
      </c>
      <c r="V29" s="111">
        <f t="shared" si="24"/>
        <v>177242.054</v>
      </c>
      <c r="W29" s="112">
        <f t="shared" si="39"/>
        <v>136.27681590647651</v>
      </c>
      <c r="Y29" s="98"/>
      <c r="Z29" s="99" t="e">
        <f>F29/#REF!*100</f>
        <v>#REF!</v>
      </c>
    </row>
    <row r="30" spans="1:26" s="71" customFormat="1" ht="39" x14ac:dyDescent="0.25">
      <c r="A30" s="67">
        <v>6</v>
      </c>
      <c r="B30" s="76" t="s">
        <v>46</v>
      </c>
      <c r="C30" s="68" t="s">
        <v>17</v>
      </c>
      <c r="D30" s="105">
        <v>1900</v>
      </c>
      <c r="E30" s="105">
        <v>1900</v>
      </c>
      <c r="F30" s="106">
        <f t="shared" si="14"/>
        <v>1557.8849999999998</v>
      </c>
      <c r="G30" s="105">
        <v>73</v>
      </c>
      <c r="H30" s="105">
        <v>59.347000000000001</v>
      </c>
      <c r="I30" s="186">
        <v>643.04899999999998</v>
      </c>
      <c r="J30" s="186">
        <v>33.494</v>
      </c>
      <c r="K30" s="186">
        <v>727.42899999999997</v>
      </c>
      <c r="L30" s="186">
        <v>1.399</v>
      </c>
      <c r="M30" s="105">
        <v>20.167000000000002</v>
      </c>
      <c r="N30" s="105">
        <v>1549</v>
      </c>
      <c r="O30" s="105">
        <f t="shared" si="19"/>
        <v>8.8849999999997635</v>
      </c>
      <c r="P30" s="164">
        <f t="shared" si="20"/>
        <v>100.57359586830212</v>
      </c>
      <c r="Q30" s="105">
        <f t="shared" si="27"/>
        <v>1108.3333333333335</v>
      </c>
      <c r="R30" s="105">
        <f t="shared" si="21"/>
        <v>449.55166666666628</v>
      </c>
      <c r="S30" s="164">
        <f t="shared" si="22"/>
        <v>140.56105263157889</v>
      </c>
      <c r="T30" s="164">
        <f t="shared" si="23"/>
        <v>81.993947368421033</v>
      </c>
      <c r="U30" s="106">
        <v>947.35199999999998</v>
      </c>
      <c r="V30" s="107">
        <f t="shared" si="24"/>
        <v>610.53299999999979</v>
      </c>
      <c r="W30" s="108">
        <f t="shared" si="39"/>
        <v>164.44626706862917</v>
      </c>
      <c r="X30" s="70">
        <f>100-W30</f>
        <v>-64.446267068629169</v>
      </c>
    </row>
    <row r="31" spans="1:26" s="71" customFormat="1" ht="23.25" x14ac:dyDescent="0.25">
      <c r="A31" s="67">
        <f t="shared" ref="A31:A39" si="40">A30+1</f>
        <v>7</v>
      </c>
      <c r="B31" s="76" t="s">
        <v>68</v>
      </c>
      <c r="C31" s="68" t="s">
        <v>67</v>
      </c>
      <c r="D31" s="105">
        <v>20000</v>
      </c>
      <c r="E31" s="105">
        <v>23000</v>
      </c>
      <c r="F31" s="106">
        <f t="shared" si="14"/>
        <v>22883.685999999998</v>
      </c>
      <c r="G31" s="105">
        <v>0</v>
      </c>
      <c r="H31" s="105">
        <v>750.99099999999999</v>
      </c>
      <c r="I31" s="186">
        <v>1015.678</v>
      </c>
      <c r="J31" s="186">
        <v>982.91399999999999</v>
      </c>
      <c r="K31" s="186">
        <v>1015.678</v>
      </c>
      <c r="L31" s="186">
        <v>18102.746999999999</v>
      </c>
      <c r="M31" s="105">
        <v>1015.678</v>
      </c>
      <c r="N31" s="105">
        <v>22615</v>
      </c>
      <c r="O31" s="105">
        <f t="shared" si="19"/>
        <v>268.68599999999788</v>
      </c>
      <c r="P31" s="164">
        <f t="shared" si="20"/>
        <v>101.18808755250939</v>
      </c>
      <c r="Q31" s="105">
        <f t="shared" si="27"/>
        <v>13416.666666666668</v>
      </c>
      <c r="R31" s="105">
        <f t="shared" si="21"/>
        <v>9467.01933333333</v>
      </c>
      <c r="S31" s="164">
        <f t="shared" si="22"/>
        <v>170.56163478260865</v>
      </c>
      <c r="T31" s="164">
        <f t="shared" si="23"/>
        <v>99.494286956521734</v>
      </c>
      <c r="U31" s="106">
        <v>30343.200000000001</v>
      </c>
      <c r="V31" s="107">
        <f t="shared" si="24"/>
        <v>-7459.5140000000029</v>
      </c>
      <c r="W31" s="108">
        <f t="shared" si="39"/>
        <v>75.41619209575785</v>
      </c>
    </row>
    <row r="32" spans="1:26" s="71" customFormat="1" ht="23.25" x14ac:dyDescent="0.25">
      <c r="A32" s="67">
        <f t="shared" si="40"/>
        <v>8</v>
      </c>
      <c r="B32" s="76" t="s">
        <v>8</v>
      </c>
      <c r="C32" s="68" t="s">
        <v>18</v>
      </c>
      <c r="D32" s="105">
        <v>500</v>
      </c>
      <c r="E32" s="105">
        <v>500</v>
      </c>
      <c r="F32" s="106">
        <f t="shared" si="14"/>
        <v>213.613</v>
      </c>
      <c r="G32" s="105">
        <v>0</v>
      </c>
      <c r="H32" s="105">
        <v>91.484999999999999</v>
      </c>
      <c r="I32" s="186">
        <v>0</v>
      </c>
      <c r="J32" s="186">
        <v>0</v>
      </c>
      <c r="K32" s="186">
        <v>122.128</v>
      </c>
      <c r="L32" s="186">
        <v>0</v>
      </c>
      <c r="M32" s="105">
        <v>0</v>
      </c>
      <c r="N32" s="105">
        <v>211</v>
      </c>
      <c r="O32" s="105">
        <f t="shared" si="19"/>
        <v>2.6129999999999995</v>
      </c>
      <c r="P32" s="164">
        <f t="shared" si="20"/>
        <v>101.23838862559242</v>
      </c>
      <c r="Q32" s="105">
        <f t="shared" si="27"/>
        <v>291.66666666666663</v>
      </c>
      <c r="R32" s="105">
        <f t="shared" si="21"/>
        <v>-78.053666666666629</v>
      </c>
      <c r="S32" s="164">
        <f t="shared" si="22"/>
        <v>73.238742857142867</v>
      </c>
      <c r="T32" s="164">
        <f t="shared" si="23"/>
        <v>42.7226</v>
      </c>
      <c r="U32" s="106">
        <v>845.92</v>
      </c>
      <c r="V32" s="107">
        <f t="shared" si="24"/>
        <v>-632.30700000000002</v>
      </c>
      <c r="W32" s="108">
        <f t="shared" ref="W32:W37" si="41">F32/U32*100</f>
        <v>25.252151503688292</v>
      </c>
    </row>
    <row r="33" spans="1:25" s="71" customFormat="1" ht="58.5" x14ac:dyDescent="0.25">
      <c r="A33" s="67">
        <f t="shared" si="40"/>
        <v>9</v>
      </c>
      <c r="B33" s="156" t="s">
        <v>85</v>
      </c>
      <c r="C33" s="91" t="s">
        <v>86</v>
      </c>
      <c r="D33" s="105">
        <v>5</v>
      </c>
      <c r="E33" s="105">
        <v>18</v>
      </c>
      <c r="F33" s="106">
        <f t="shared" si="14"/>
        <v>12.280999999999999</v>
      </c>
      <c r="G33" s="105">
        <v>0</v>
      </c>
      <c r="H33" s="105">
        <v>0.30599999999999999</v>
      </c>
      <c r="I33" s="186">
        <v>7.51</v>
      </c>
      <c r="J33" s="186">
        <v>3.2069999999999999</v>
      </c>
      <c r="K33" s="186">
        <v>5.258</v>
      </c>
      <c r="L33" s="186">
        <v>1</v>
      </c>
      <c r="M33" s="105">
        <v>-5</v>
      </c>
      <c r="N33" s="105">
        <v>12.2</v>
      </c>
      <c r="O33" s="105">
        <f t="shared" si="19"/>
        <v>8.0999999999999517E-2</v>
      </c>
      <c r="P33" s="164">
        <f t="shared" si="20"/>
        <v>100.6639344262295</v>
      </c>
      <c r="Q33" s="105">
        <f t="shared" si="27"/>
        <v>10.5</v>
      </c>
      <c r="R33" s="105">
        <f t="shared" si="21"/>
        <v>1.7809999999999988</v>
      </c>
      <c r="S33" s="164">
        <f t="shared" si="22"/>
        <v>116.96190476190476</v>
      </c>
      <c r="T33" s="164">
        <f t="shared" si="23"/>
        <v>68.227777777777774</v>
      </c>
      <c r="U33" s="106">
        <v>-10.64</v>
      </c>
      <c r="V33" s="107">
        <f t="shared" si="24"/>
        <v>22.920999999999999</v>
      </c>
      <c r="W33" s="108">
        <f t="shared" si="41"/>
        <v>-115.42293233082705</v>
      </c>
    </row>
    <row r="34" spans="1:25" s="71" customFormat="1" ht="23.25" x14ac:dyDescent="0.25">
      <c r="A34" s="67">
        <f t="shared" si="40"/>
        <v>10</v>
      </c>
      <c r="B34" s="120" t="s">
        <v>30</v>
      </c>
      <c r="C34" s="68" t="s">
        <v>24</v>
      </c>
      <c r="D34" s="105">
        <v>16000</v>
      </c>
      <c r="E34" s="105">
        <v>16000</v>
      </c>
      <c r="F34" s="106">
        <f t="shared" si="14"/>
        <v>8774.6959999999999</v>
      </c>
      <c r="G34" s="105">
        <v>1249.509</v>
      </c>
      <c r="H34" s="105">
        <v>1180.684</v>
      </c>
      <c r="I34" s="186">
        <v>1380.37</v>
      </c>
      <c r="J34" s="186">
        <v>1302.2090000000001</v>
      </c>
      <c r="K34" s="186">
        <v>1416.192</v>
      </c>
      <c r="L34" s="186">
        <v>1073.499</v>
      </c>
      <c r="M34" s="105">
        <v>1172.2329999999999</v>
      </c>
      <c r="N34" s="105">
        <v>8730</v>
      </c>
      <c r="O34" s="105">
        <f t="shared" si="19"/>
        <v>44.695999999999913</v>
      </c>
      <c r="P34" s="164">
        <f t="shared" si="20"/>
        <v>100.51198167239403</v>
      </c>
      <c r="Q34" s="105">
        <f t="shared" si="27"/>
        <v>9333.3333333333321</v>
      </c>
      <c r="R34" s="105">
        <f t="shared" si="21"/>
        <v>-558.63733333333221</v>
      </c>
      <c r="S34" s="164">
        <f t="shared" si="22"/>
        <v>94.014600000000016</v>
      </c>
      <c r="T34" s="164">
        <f t="shared" si="23"/>
        <v>54.841850000000001</v>
      </c>
      <c r="U34" s="106">
        <v>7907.5779999999995</v>
      </c>
      <c r="V34" s="107">
        <f t="shared" si="24"/>
        <v>867.11800000000039</v>
      </c>
      <c r="W34" s="108">
        <f t="shared" si="41"/>
        <v>110.9656585113672</v>
      </c>
      <c r="X34" s="70">
        <f>100-W34</f>
        <v>-10.965658511367195</v>
      </c>
    </row>
    <row r="35" spans="1:25" s="71" customFormat="1" ht="39" x14ac:dyDescent="0.25">
      <c r="A35" s="67">
        <f t="shared" si="40"/>
        <v>11</v>
      </c>
      <c r="B35" s="120" t="s">
        <v>78</v>
      </c>
      <c r="C35" s="68" t="s">
        <v>77</v>
      </c>
      <c r="D35" s="105">
        <v>760</v>
      </c>
      <c r="E35" s="105">
        <v>760</v>
      </c>
      <c r="F35" s="106">
        <f t="shared" si="14"/>
        <v>655.798</v>
      </c>
      <c r="G35" s="105">
        <v>6.8</v>
      </c>
      <c r="H35" s="105">
        <v>119</v>
      </c>
      <c r="I35" s="186">
        <v>106.8</v>
      </c>
      <c r="J35" s="186">
        <v>171.6</v>
      </c>
      <c r="K35" s="186">
        <v>88.4</v>
      </c>
      <c r="L35" s="186">
        <v>79.132999999999996</v>
      </c>
      <c r="M35" s="105">
        <v>84.064999999999998</v>
      </c>
      <c r="N35" s="105">
        <v>645.6</v>
      </c>
      <c r="O35" s="105">
        <f t="shared" si="19"/>
        <v>10.197999999999979</v>
      </c>
      <c r="P35" s="164">
        <f t="shared" si="20"/>
        <v>101.57961586121438</v>
      </c>
      <c r="Q35" s="105">
        <f t="shared" si="27"/>
        <v>443.33333333333337</v>
      </c>
      <c r="R35" s="105">
        <f t="shared" si="21"/>
        <v>212.46466666666663</v>
      </c>
      <c r="S35" s="164">
        <f t="shared" si="22"/>
        <v>147.92436090225561</v>
      </c>
      <c r="T35" s="164">
        <f t="shared" si="23"/>
        <v>86.289210526315784</v>
      </c>
      <c r="U35" s="106">
        <v>431.04399999999998</v>
      </c>
      <c r="V35" s="107">
        <f t="shared" si="24"/>
        <v>224.75400000000002</v>
      </c>
      <c r="W35" s="108">
        <f t="shared" si="41"/>
        <v>152.14177670957025</v>
      </c>
    </row>
    <row r="36" spans="1:25" s="71" customFormat="1" ht="39" x14ac:dyDescent="0.25">
      <c r="A36" s="67">
        <f t="shared" si="40"/>
        <v>12</v>
      </c>
      <c r="B36" s="120" t="s">
        <v>170</v>
      </c>
      <c r="C36" s="68" t="s">
        <v>103</v>
      </c>
      <c r="D36" s="105">
        <v>21300</v>
      </c>
      <c r="E36" s="105">
        <v>21300</v>
      </c>
      <c r="F36" s="106">
        <f t="shared" si="14"/>
        <v>13271.005000000001</v>
      </c>
      <c r="G36" s="105">
        <v>1536.7550000000001</v>
      </c>
      <c r="H36" s="105">
        <v>2469.8449999999998</v>
      </c>
      <c r="I36" s="186">
        <v>1780.732</v>
      </c>
      <c r="J36" s="186">
        <v>1746.1220000000001</v>
      </c>
      <c r="K36" s="186">
        <v>1764.364</v>
      </c>
      <c r="L36" s="186">
        <v>2096.0549999999998</v>
      </c>
      <c r="M36" s="105">
        <v>1877.1320000000001</v>
      </c>
      <c r="N36" s="105">
        <v>12825</v>
      </c>
      <c r="O36" s="105">
        <f t="shared" si="19"/>
        <v>446.00500000000102</v>
      </c>
      <c r="P36" s="164">
        <f t="shared" si="20"/>
        <v>103.47762183235869</v>
      </c>
      <c r="Q36" s="105">
        <f t="shared" si="27"/>
        <v>12425</v>
      </c>
      <c r="R36" s="105">
        <f t="shared" si="21"/>
        <v>846.00500000000102</v>
      </c>
      <c r="S36" s="164">
        <f t="shared" si="22"/>
        <v>106.80889336016097</v>
      </c>
      <c r="T36" s="164">
        <f t="shared" si="23"/>
        <v>62.30518779342723</v>
      </c>
      <c r="U36" s="106">
        <v>11734.468000000001</v>
      </c>
      <c r="V36" s="107">
        <f t="shared" si="24"/>
        <v>1536.5370000000003</v>
      </c>
      <c r="W36" s="108">
        <f t="shared" si="41"/>
        <v>113.0942195249073</v>
      </c>
    </row>
    <row r="37" spans="1:25" s="71" customFormat="1" ht="39" x14ac:dyDescent="0.25">
      <c r="A37" s="67">
        <f>A36+1</f>
        <v>13</v>
      </c>
      <c r="B37" s="120" t="s">
        <v>132</v>
      </c>
      <c r="C37" s="68" t="s">
        <v>131</v>
      </c>
      <c r="D37" s="105">
        <v>3800</v>
      </c>
      <c r="E37" s="105">
        <v>3800</v>
      </c>
      <c r="F37" s="106">
        <f t="shared" si="14"/>
        <v>754.49</v>
      </c>
      <c r="G37" s="105">
        <v>143.596</v>
      </c>
      <c r="H37" s="105">
        <v>99.881</v>
      </c>
      <c r="I37" s="186">
        <v>91.864999999999995</v>
      </c>
      <c r="J37" s="186">
        <v>86.191000000000003</v>
      </c>
      <c r="K37" s="186">
        <v>116.09399999999999</v>
      </c>
      <c r="L37" s="186">
        <v>109.283</v>
      </c>
      <c r="M37" s="105">
        <v>107.58</v>
      </c>
      <c r="N37" s="105">
        <v>748</v>
      </c>
      <c r="O37" s="105">
        <f t="shared" si="19"/>
        <v>6.4900000000000091</v>
      </c>
      <c r="P37" s="164">
        <f t="shared" si="20"/>
        <v>100.86764705882354</v>
      </c>
      <c r="Q37" s="105">
        <f t="shared" si="27"/>
        <v>2216.666666666667</v>
      </c>
      <c r="R37" s="105">
        <f t="shared" si="21"/>
        <v>-1462.176666666667</v>
      </c>
      <c r="S37" s="164">
        <f t="shared" si="22"/>
        <v>34.037142857142854</v>
      </c>
      <c r="T37" s="164">
        <f t="shared" si="23"/>
        <v>19.855</v>
      </c>
      <c r="U37" s="106">
        <v>1933.7979999999998</v>
      </c>
      <c r="V37" s="107">
        <f t="shared" si="24"/>
        <v>-1179.3079999999998</v>
      </c>
      <c r="W37" s="108">
        <f t="shared" si="41"/>
        <v>39.015967541594321</v>
      </c>
    </row>
    <row r="38" spans="1:25" s="71" customFormat="1" ht="58.5" x14ac:dyDescent="0.25">
      <c r="A38" s="67">
        <f t="shared" si="40"/>
        <v>14</v>
      </c>
      <c r="B38" s="120" t="s">
        <v>124</v>
      </c>
      <c r="C38" s="68" t="s">
        <v>125</v>
      </c>
      <c r="D38" s="105">
        <v>50</v>
      </c>
      <c r="E38" s="105">
        <v>50</v>
      </c>
      <c r="F38" s="106">
        <f t="shared" si="14"/>
        <v>32.326000000000001</v>
      </c>
      <c r="G38" s="105">
        <v>3.55</v>
      </c>
      <c r="H38" s="105">
        <v>2.84</v>
      </c>
      <c r="I38" s="186">
        <v>6.39</v>
      </c>
      <c r="J38" s="186">
        <v>13.156000000000001</v>
      </c>
      <c r="K38" s="186">
        <v>4.97</v>
      </c>
      <c r="L38" s="186">
        <v>1.42</v>
      </c>
      <c r="M38" s="105">
        <v>0</v>
      </c>
      <c r="N38" s="105">
        <v>31.9</v>
      </c>
      <c r="O38" s="105">
        <f t="shared" si="19"/>
        <v>0.42600000000000193</v>
      </c>
      <c r="P38" s="164">
        <f t="shared" si="20"/>
        <v>101.33542319749216</v>
      </c>
      <c r="Q38" s="105">
        <f t="shared" si="27"/>
        <v>29.166666666666668</v>
      </c>
      <c r="R38" s="105">
        <f t="shared" si="21"/>
        <v>3.1593333333333327</v>
      </c>
      <c r="S38" s="164">
        <f t="shared" si="22"/>
        <v>110.83199999999999</v>
      </c>
      <c r="T38" s="164">
        <f t="shared" si="23"/>
        <v>64.652000000000001</v>
      </c>
      <c r="U38" s="106">
        <v>28.797999999999998</v>
      </c>
      <c r="V38" s="107">
        <f t="shared" si="24"/>
        <v>3.5280000000000022</v>
      </c>
      <c r="W38" s="108">
        <f t="shared" ref="W38:W48" si="42">F38/U38*100</f>
        <v>112.25085075352456</v>
      </c>
    </row>
    <row r="39" spans="1:25" s="71" customFormat="1" ht="23.25" x14ac:dyDescent="0.25">
      <c r="A39" s="67">
        <f t="shared" si="40"/>
        <v>15</v>
      </c>
      <c r="B39" s="120" t="s">
        <v>80</v>
      </c>
      <c r="C39" s="68" t="s">
        <v>79</v>
      </c>
      <c r="D39" s="105">
        <f>SUM(D40:D43)</f>
        <v>40666</v>
      </c>
      <c r="E39" s="105">
        <f>SUM(E40:E43)</f>
        <v>40666</v>
      </c>
      <c r="F39" s="106">
        <f t="shared" si="14"/>
        <v>31087.204000000002</v>
      </c>
      <c r="G39" s="105">
        <f t="shared" ref="G39:N39" si="43">SUM(G40:G43)</f>
        <v>1954.4269999999999</v>
      </c>
      <c r="H39" s="105">
        <f t="shared" ref="H39:L39" si="44">SUM(H40:H43)</f>
        <v>5701.3409999999994</v>
      </c>
      <c r="I39" s="186">
        <f t="shared" si="44"/>
        <v>4601.5159999999996</v>
      </c>
      <c r="J39" s="186">
        <f t="shared" si="44"/>
        <v>4892.4530000000004</v>
      </c>
      <c r="K39" s="186">
        <f t="shared" si="44"/>
        <v>5089.2879999999996</v>
      </c>
      <c r="L39" s="186">
        <f t="shared" si="44"/>
        <v>4153.6120000000001</v>
      </c>
      <c r="M39" s="105">
        <f t="shared" si="43"/>
        <v>4694.567</v>
      </c>
      <c r="N39" s="105">
        <f t="shared" si="43"/>
        <v>30775.3</v>
      </c>
      <c r="O39" s="105">
        <f t="shared" si="19"/>
        <v>311.90400000000227</v>
      </c>
      <c r="P39" s="164">
        <f t="shared" si="20"/>
        <v>101.01348808947436</v>
      </c>
      <c r="Q39" s="105">
        <f t="shared" si="27"/>
        <v>23721.833333333336</v>
      </c>
      <c r="R39" s="105">
        <f t="shared" si="21"/>
        <v>7365.3706666666658</v>
      </c>
      <c r="S39" s="164">
        <f t="shared" si="22"/>
        <v>131.04890993529168</v>
      </c>
      <c r="T39" s="164">
        <f t="shared" si="23"/>
        <v>76.445197462253475</v>
      </c>
      <c r="U39" s="106">
        <f t="shared" ref="U39" si="45">SUM(U40:U43)</f>
        <v>23433.669999999995</v>
      </c>
      <c r="V39" s="107">
        <f t="shared" si="24"/>
        <v>7653.5340000000069</v>
      </c>
      <c r="W39" s="108">
        <f t="shared" si="42"/>
        <v>132.66041554737268</v>
      </c>
    </row>
    <row r="40" spans="1:25" s="75" customFormat="1" ht="39" x14ac:dyDescent="0.25">
      <c r="A40" s="72" t="s">
        <v>166</v>
      </c>
      <c r="B40" s="121" t="s">
        <v>72</v>
      </c>
      <c r="C40" s="160" t="s">
        <v>71</v>
      </c>
      <c r="D40" s="109">
        <v>1700</v>
      </c>
      <c r="E40" s="109">
        <v>1700</v>
      </c>
      <c r="F40" s="188">
        <f t="shared" si="14"/>
        <v>834.6099999999999</v>
      </c>
      <c r="G40" s="109">
        <v>93.847999999999999</v>
      </c>
      <c r="H40" s="182">
        <v>135.93199999999999</v>
      </c>
      <c r="I40" s="187">
        <v>113.69199999999999</v>
      </c>
      <c r="J40" s="187">
        <v>143.21600000000001</v>
      </c>
      <c r="K40" s="187">
        <v>139.08600000000001</v>
      </c>
      <c r="L40" s="187">
        <v>100.502</v>
      </c>
      <c r="M40" s="109">
        <v>108.334</v>
      </c>
      <c r="N40" s="109">
        <v>825</v>
      </c>
      <c r="O40" s="109">
        <f t="shared" si="19"/>
        <v>9.6099999999999</v>
      </c>
      <c r="P40" s="165">
        <f t="shared" si="20"/>
        <v>101.16484848484848</v>
      </c>
      <c r="Q40" s="109">
        <f t="shared" si="27"/>
        <v>991.66666666666663</v>
      </c>
      <c r="R40" s="109">
        <f t="shared" si="21"/>
        <v>-157.05666666666673</v>
      </c>
      <c r="S40" s="165">
        <f t="shared" si="22"/>
        <v>84.162352941176465</v>
      </c>
      <c r="T40" s="165">
        <f t="shared" si="23"/>
        <v>49.094705882352933</v>
      </c>
      <c r="U40" s="110">
        <v>860.46000000000015</v>
      </c>
      <c r="V40" s="111">
        <f t="shared" si="24"/>
        <v>-25.85000000000025</v>
      </c>
      <c r="W40" s="112">
        <f t="shared" si="42"/>
        <v>96.995792947958037</v>
      </c>
      <c r="X40" s="112">
        <f>W40-100</f>
        <v>-3.0042070520419628</v>
      </c>
      <c r="Y40" s="73"/>
    </row>
    <row r="41" spans="1:25" s="75" customFormat="1" ht="23.25" x14ac:dyDescent="0.25">
      <c r="A41" s="72" t="s">
        <v>167</v>
      </c>
      <c r="B41" s="122" t="s">
        <v>59</v>
      </c>
      <c r="C41" s="59" t="s">
        <v>60</v>
      </c>
      <c r="D41" s="109">
        <v>38000</v>
      </c>
      <c r="E41" s="109">
        <v>38000</v>
      </c>
      <c r="F41" s="188">
        <f t="shared" si="14"/>
        <v>29567.623999999996</v>
      </c>
      <c r="G41" s="109">
        <v>1766.579</v>
      </c>
      <c r="H41" s="182">
        <v>5454.4589999999998</v>
      </c>
      <c r="I41" s="187">
        <v>4360.1940000000004</v>
      </c>
      <c r="J41" s="187">
        <v>4659.3469999999998</v>
      </c>
      <c r="K41" s="187">
        <v>4863.9719999999998</v>
      </c>
      <c r="L41" s="187">
        <v>3955.6</v>
      </c>
      <c r="M41" s="109">
        <v>4507.473</v>
      </c>
      <c r="N41" s="109">
        <v>29285</v>
      </c>
      <c r="O41" s="109">
        <f t="shared" si="19"/>
        <v>282.62399999999616</v>
      </c>
      <c r="P41" s="165">
        <f t="shared" si="20"/>
        <v>100.96508109953899</v>
      </c>
      <c r="Q41" s="109">
        <f t="shared" si="27"/>
        <v>22166.666666666664</v>
      </c>
      <c r="R41" s="109">
        <f t="shared" si="21"/>
        <v>7400.9573333333319</v>
      </c>
      <c r="S41" s="165">
        <f t="shared" si="22"/>
        <v>133.38777744360902</v>
      </c>
      <c r="T41" s="165">
        <f t="shared" si="23"/>
        <v>77.80953684210526</v>
      </c>
      <c r="U41" s="110">
        <v>22052.263999999996</v>
      </c>
      <c r="V41" s="111">
        <f t="shared" si="24"/>
        <v>7515.3600000000006</v>
      </c>
      <c r="W41" s="112">
        <f t="shared" si="42"/>
        <v>134.07976614101847</v>
      </c>
      <c r="X41" s="112">
        <f>W41-100</f>
        <v>34.079766141018467</v>
      </c>
      <c r="Y41" s="74"/>
    </row>
    <row r="42" spans="1:25" s="75" customFormat="1" ht="39" x14ac:dyDescent="0.25">
      <c r="A42" s="72" t="s">
        <v>168</v>
      </c>
      <c r="B42" s="122" t="s">
        <v>76</v>
      </c>
      <c r="C42" s="59" t="s">
        <v>73</v>
      </c>
      <c r="D42" s="109">
        <v>850</v>
      </c>
      <c r="E42" s="109">
        <v>850</v>
      </c>
      <c r="F42" s="188">
        <f t="shared" si="14"/>
        <v>596.74999999999989</v>
      </c>
      <c r="G42" s="109">
        <v>90.97</v>
      </c>
      <c r="H42" s="182">
        <v>92.99</v>
      </c>
      <c r="I42" s="187">
        <v>106.73</v>
      </c>
      <c r="J42" s="187">
        <v>85.35</v>
      </c>
      <c r="K42" s="187">
        <v>78.66</v>
      </c>
      <c r="L42" s="187">
        <v>66.930000000000007</v>
      </c>
      <c r="M42" s="109">
        <v>75.12</v>
      </c>
      <c r="N42" s="109">
        <v>578</v>
      </c>
      <c r="O42" s="109">
        <f t="shared" si="19"/>
        <v>18.749999999999886</v>
      </c>
      <c r="P42" s="165">
        <f t="shared" si="20"/>
        <v>103.24394463667818</v>
      </c>
      <c r="Q42" s="109">
        <f t="shared" si="27"/>
        <v>495.83333333333331</v>
      </c>
      <c r="R42" s="109">
        <f t="shared" si="21"/>
        <v>100.91666666666657</v>
      </c>
      <c r="S42" s="165">
        <f t="shared" si="22"/>
        <v>120.35294117647058</v>
      </c>
      <c r="T42" s="165">
        <f t="shared" si="23"/>
        <v>70.20588235294116</v>
      </c>
      <c r="U42" s="110">
        <v>439.596</v>
      </c>
      <c r="V42" s="111">
        <f t="shared" ref="V42:V75" si="46">F42-U42</f>
        <v>157.15399999999988</v>
      </c>
      <c r="W42" s="112">
        <f t="shared" si="42"/>
        <v>135.74964285389308</v>
      </c>
    </row>
    <row r="43" spans="1:25" s="75" customFormat="1" ht="78" x14ac:dyDescent="0.25">
      <c r="A43" s="72" t="s">
        <v>169</v>
      </c>
      <c r="B43" s="123" t="s">
        <v>75</v>
      </c>
      <c r="C43" s="59" t="s">
        <v>74</v>
      </c>
      <c r="D43" s="109">
        <v>116</v>
      </c>
      <c r="E43" s="109">
        <v>116</v>
      </c>
      <c r="F43" s="188">
        <f t="shared" si="14"/>
        <v>88.22</v>
      </c>
      <c r="G43" s="109">
        <v>3.03</v>
      </c>
      <c r="H43" s="182">
        <v>17.96</v>
      </c>
      <c r="I43" s="187">
        <v>20.9</v>
      </c>
      <c r="J43" s="187">
        <v>4.54</v>
      </c>
      <c r="K43" s="187">
        <v>7.57</v>
      </c>
      <c r="L43" s="187">
        <v>30.58</v>
      </c>
      <c r="M43" s="109">
        <v>3.64</v>
      </c>
      <c r="N43" s="109">
        <v>87.3</v>
      </c>
      <c r="O43" s="109">
        <f t="shared" si="19"/>
        <v>0.92000000000000171</v>
      </c>
      <c r="P43" s="165">
        <f t="shared" si="20"/>
        <v>101.05383734249713</v>
      </c>
      <c r="Q43" s="109">
        <f t="shared" si="27"/>
        <v>67.666666666666657</v>
      </c>
      <c r="R43" s="109">
        <f t="shared" si="21"/>
        <v>20.553333333333342</v>
      </c>
      <c r="S43" s="165">
        <f t="shared" si="22"/>
        <v>130.37438423645321</v>
      </c>
      <c r="T43" s="165">
        <f t="shared" si="23"/>
        <v>76.051724137931032</v>
      </c>
      <c r="U43" s="110">
        <v>81.350000000000009</v>
      </c>
      <c r="V43" s="111">
        <f t="shared" si="46"/>
        <v>6.8699999999999903</v>
      </c>
      <c r="W43" s="112">
        <f t="shared" si="42"/>
        <v>108.44499078057774</v>
      </c>
    </row>
    <row r="44" spans="1:25" s="71" customFormat="1" ht="39" x14ac:dyDescent="0.25">
      <c r="A44" s="194">
        <v>16</v>
      </c>
      <c r="B44" s="156" t="s">
        <v>192</v>
      </c>
      <c r="C44" s="68" t="s">
        <v>191</v>
      </c>
      <c r="D44" s="186">
        <v>0</v>
      </c>
      <c r="E44" s="186">
        <v>5025</v>
      </c>
      <c r="F44" s="106">
        <f t="shared" si="14"/>
        <v>6030</v>
      </c>
      <c r="G44" s="186">
        <v>0</v>
      </c>
      <c r="H44" s="186">
        <v>0</v>
      </c>
      <c r="I44" s="186">
        <v>0</v>
      </c>
      <c r="J44" s="186">
        <v>0</v>
      </c>
      <c r="K44" s="186">
        <v>5025</v>
      </c>
      <c r="L44" s="186">
        <v>0</v>
      </c>
      <c r="M44" s="186">
        <v>1005</v>
      </c>
      <c r="N44" s="186">
        <v>5025</v>
      </c>
      <c r="O44" s="186">
        <f t="shared" si="19"/>
        <v>1005</v>
      </c>
      <c r="P44" s="164">
        <f t="shared" si="20"/>
        <v>120</v>
      </c>
      <c r="Q44" s="186">
        <f t="shared" si="27"/>
        <v>2931.25</v>
      </c>
      <c r="R44" s="186">
        <f t="shared" si="21"/>
        <v>3098.75</v>
      </c>
      <c r="S44" s="164">
        <f t="shared" ref="S44" si="47">F44/Q44*100</f>
        <v>205.71428571428569</v>
      </c>
      <c r="T44" s="164">
        <f t="shared" ref="T44" si="48">F44/E44*100</f>
        <v>120</v>
      </c>
      <c r="U44" s="106"/>
      <c r="V44" s="107">
        <f t="shared" si="46"/>
        <v>6030</v>
      </c>
      <c r="W44" s="108"/>
    </row>
    <row r="45" spans="1:25" s="71" customFormat="1" ht="39" x14ac:dyDescent="0.25">
      <c r="A45" s="67">
        <v>17</v>
      </c>
      <c r="B45" s="156" t="s">
        <v>35</v>
      </c>
      <c r="C45" s="68" t="s">
        <v>19</v>
      </c>
      <c r="D45" s="105">
        <v>12000</v>
      </c>
      <c r="E45" s="105">
        <v>12000</v>
      </c>
      <c r="F45" s="106">
        <f t="shared" si="14"/>
        <v>6576.3469999999998</v>
      </c>
      <c r="G45" s="105">
        <v>1306.3779999999999</v>
      </c>
      <c r="H45" s="105">
        <v>690.69200000000001</v>
      </c>
      <c r="I45" s="186">
        <v>857.34799999999996</v>
      </c>
      <c r="J45" s="186">
        <v>931.36300000000006</v>
      </c>
      <c r="K45" s="186">
        <v>778.18899999999996</v>
      </c>
      <c r="L45" s="186">
        <v>1007.052</v>
      </c>
      <c r="M45" s="105">
        <v>1005.325</v>
      </c>
      <c r="N45" s="105">
        <v>6492</v>
      </c>
      <c r="O45" s="105">
        <f t="shared" si="19"/>
        <v>84.346999999999753</v>
      </c>
      <c r="P45" s="164">
        <f t="shared" si="20"/>
        <v>101.29924522489218</v>
      </c>
      <c r="Q45" s="105">
        <f t="shared" si="27"/>
        <v>7000</v>
      </c>
      <c r="R45" s="105">
        <f t="shared" si="21"/>
        <v>-423.65300000000025</v>
      </c>
      <c r="S45" s="164">
        <f t="shared" si="22"/>
        <v>93.947814285714287</v>
      </c>
      <c r="T45" s="164">
        <f t="shared" si="23"/>
        <v>54.802891666666667</v>
      </c>
      <c r="U45" s="106">
        <v>10500.163999999999</v>
      </c>
      <c r="V45" s="107">
        <f t="shared" si="46"/>
        <v>-3923.8169999999991</v>
      </c>
      <c r="W45" s="108">
        <f t="shared" si="42"/>
        <v>62.630897955498597</v>
      </c>
      <c r="X45" s="71">
        <v>3831.8429999999998</v>
      </c>
    </row>
    <row r="46" spans="1:25" s="71" customFormat="1" ht="23.25" x14ac:dyDescent="0.25">
      <c r="A46" s="67">
        <f t="shared" ref="A46:A52" si="49">A45+1</f>
        <v>18</v>
      </c>
      <c r="B46" s="76" t="s">
        <v>54</v>
      </c>
      <c r="C46" s="68" t="s">
        <v>15</v>
      </c>
      <c r="D46" s="105">
        <v>590.10500000000002</v>
      </c>
      <c r="E46" s="105">
        <v>590.10500000000002</v>
      </c>
      <c r="F46" s="106">
        <f t="shared" si="14"/>
        <v>600.92199999999991</v>
      </c>
      <c r="G46" s="105">
        <v>41.896999999999998</v>
      </c>
      <c r="H46" s="105">
        <v>55.649000000000001</v>
      </c>
      <c r="I46" s="186">
        <v>129.727</v>
      </c>
      <c r="J46" s="186">
        <v>181.876</v>
      </c>
      <c r="K46" s="186">
        <v>68.260999999999996</v>
      </c>
      <c r="L46" s="186">
        <v>55.597999999999999</v>
      </c>
      <c r="M46" s="105">
        <v>67.914000000000001</v>
      </c>
      <c r="N46" s="105">
        <v>533.96100000000001</v>
      </c>
      <c r="O46" s="105">
        <f t="shared" si="19"/>
        <v>66.960999999999899</v>
      </c>
      <c r="P46" s="164">
        <f t="shared" si="20"/>
        <v>112.54042898264103</v>
      </c>
      <c r="Q46" s="105">
        <f t="shared" si="27"/>
        <v>344.22791666666672</v>
      </c>
      <c r="R46" s="105">
        <f t="shared" si="21"/>
        <v>256.6940833333332</v>
      </c>
      <c r="S46" s="164">
        <f t="shared" si="22"/>
        <v>174.57096618398415</v>
      </c>
      <c r="T46" s="164">
        <f t="shared" si="23"/>
        <v>101.83306360732409</v>
      </c>
      <c r="U46" s="106">
        <v>582.45500000000004</v>
      </c>
      <c r="V46" s="107">
        <f t="shared" si="46"/>
        <v>18.466999999999871</v>
      </c>
      <c r="W46" s="108">
        <f t="shared" si="42"/>
        <v>103.1705453640195</v>
      </c>
      <c r="X46" s="70">
        <f>100-W46</f>
        <v>-3.1705453640195032</v>
      </c>
    </row>
    <row r="47" spans="1:25" s="71" customFormat="1" ht="65.25" customHeight="1" x14ac:dyDescent="0.25">
      <c r="A47" s="67">
        <f t="shared" si="49"/>
        <v>19</v>
      </c>
      <c r="B47" s="76" t="s">
        <v>91</v>
      </c>
      <c r="C47" s="68" t="s">
        <v>90</v>
      </c>
      <c r="D47" s="105">
        <v>31</v>
      </c>
      <c r="E47" s="105">
        <v>31</v>
      </c>
      <c r="F47" s="106">
        <f t="shared" si="14"/>
        <v>11.951000000000001</v>
      </c>
      <c r="G47" s="105">
        <v>0.56399999999999995</v>
      </c>
      <c r="H47" s="105">
        <v>0</v>
      </c>
      <c r="I47" s="186">
        <v>6.2670000000000003</v>
      </c>
      <c r="J47" s="186">
        <v>0</v>
      </c>
      <c r="K47" s="186">
        <v>0</v>
      </c>
      <c r="L47" s="186">
        <v>0</v>
      </c>
      <c r="M47" s="105">
        <v>5.12</v>
      </c>
      <c r="N47" s="105">
        <v>11.86</v>
      </c>
      <c r="O47" s="105">
        <f t="shared" si="19"/>
        <v>9.100000000000108E-2</v>
      </c>
      <c r="P47" s="164">
        <f t="shared" si="20"/>
        <v>100.7672849915683</v>
      </c>
      <c r="Q47" s="105">
        <f t="shared" si="27"/>
        <v>18.083333333333336</v>
      </c>
      <c r="R47" s="105">
        <f t="shared" si="21"/>
        <v>-6.1323333333333352</v>
      </c>
      <c r="S47" s="164">
        <f t="shared" si="22"/>
        <v>66.088479262672806</v>
      </c>
      <c r="T47" s="164">
        <f t="shared" si="23"/>
        <v>38.551612903225809</v>
      </c>
      <c r="U47" s="106">
        <v>7.9710000000000001</v>
      </c>
      <c r="V47" s="107">
        <f t="shared" si="46"/>
        <v>3.9800000000000004</v>
      </c>
      <c r="W47" s="108">
        <f t="shared" si="42"/>
        <v>149.93099987454522</v>
      </c>
    </row>
    <row r="48" spans="1:25" s="71" customFormat="1" ht="23.25" x14ac:dyDescent="0.25">
      <c r="A48" s="67">
        <f t="shared" si="49"/>
        <v>20</v>
      </c>
      <c r="B48" s="94" t="s">
        <v>61</v>
      </c>
      <c r="C48" s="32" t="s">
        <v>62</v>
      </c>
      <c r="D48" s="105">
        <v>500</v>
      </c>
      <c r="E48" s="105">
        <v>500</v>
      </c>
      <c r="F48" s="106">
        <f t="shared" si="14"/>
        <v>419.18799999999999</v>
      </c>
      <c r="G48" s="105">
        <v>0</v>
      </c>
      <c r="H48" s="105">
        <v>0</v>
      </c>
      <c r="I48" s="186">
        <v>0</v>
      </c>
      <c r="J48" s="186">
        <v>0</v>
      </c>
      <c r="K48" s="186">
        <v>0</v>
      </c>
      <c r="L48" s="186">
        <v>419.18799999999999</v>
      </c>
      <c r="M48" s="105">
        <v>0</v>
      </c>
      <c r="N48" s="105">
        <v>419</v>
      </c>
      <c r="O48" s="105">
        <f t="shared" si="19"/>
        <v>0.18799999999998818</v>
      </c>
      <c r="P48" s="164"/>
      <c r="Q48" s="105">
        <f t="shared" si="27"/>
        <v>291.66666666666663</v>
      </c>
      <c r="R48" s="105">
        <f t="shared" si="21"/>
        <v>127.52133333333336</v>
      </c>
      <c r="S48" s="164">
        <f t="shared" si="22"/>
        <v>143.7216</v>
      </c>
      <c r="T48" s="164">
        <f t="shared" si="23"/>
        <v>83.837599999999995</v>
      </c>
      <c r="U48" s="106">
        <v>369.09899999999999</v>
      </c>
      <c r="V48" s="107">
        <f t="shared" si="46"/>
        <v>50.088999999999999</v>
      </c>
      <c r="W48" s="108">
        <f t="shared" si="42"/>
        <v>113.57061384614968</v>
      </c>
    </row>
    <row r="49" spans="1:30" s="71" customFormat="1" ht="23.25" x14ac:dyDescent="0.25">
      <c r="A49" s="67">
        <f t="shared" si="49"/>
        <v>21</v>
      </c>
      <c r="B49" s="76" t="s">
        <v>8</v>
      </c>
      <c r="C49" s="68" t="s">
        <v>20</v>
      </c>
      <c r="D49" s="105">
        <v>1700</v>
      </c>
      <c r="E49" s="105">
        <f>1700+2100</f>
        <v>3800</v>
      </c>
      <c r="F49" s="106">
        <f t="shared" si="14"/>
        <v>5555.5339999999997</v>
      </c>
      <c r="G49" s="105">
        <v>1390.5519999999999</v>
      </c>
      <c r="H49" s="105">
        <v>786.19399999999996</v>
      </c>
      <c r="I49" s="186">
        <v>844.37199999999996</v>
      </c>
      <c r="J49" s="186">
        <v>195.05799999999999</v>
      </c>
      <c r="K49" s="186">
        <v>280.65199999999999</v>
      </c>
      <c r="L49" s="186">
        <v>279.33</v>
      </c>
      <c r="M49" s="105">
        <v>1779.376</v>
      </c>
      <c r="N49" s="105">
        <v>3800</v>
      </c>
      <c r="O49" s="105">
        <f t="shared" si="19"/>
        <v>1755.5339999999997</v>
      </c>
      <c r="P49" s="164">
        <f t="shared" si="20"/>
        <v>146.19826315789473</v>
      </c>
      <c r="Q49" s="105">
        <f t="shared" si="27"/>
        <v>2216.666666666667</v>
      </c>
      <c r="R49" s="105">
        <f t="shared" si="21"/>
        <v>3338.8673333333327</v>
      </c>
      <c r="S49" s="164">
        <f t="shared" si="22"/>
        <v>250.62559398496234</v>
      </c>
      <c r="T49" s="164">
        <f t="shared" si="23"/>
        <v>146.19826315789473</v>
      </c>
      <c r="U49" s="106">
        <v>2392.6660000000002</v>
      </c>
      <c r="V49" s="107">
        <f t="shared" si="46"/>
        <v>3162.8679999999995</v>
      </c>
      <c r="W49" s="108">
        <f>F49/U49*100</f>
        <v>232.19011763447131</v>
      </c>
      <c r="AA49" s="71">
        <v>246438.04</v>
      </c>
    </row>
    <row r="50" spans="1:30" s="71" customFormat="1" ht="117" x14ac:dyDescent="0.25">
      <c r="A50" s="67">
        <f t="shared" si="49"/>
        <v>22</v>
      </c>
      <c r="B50" s="76" t="s">
        <v>53</v>
      </c>
      <c r="C50" s="68" t="s">
        <v>47</v>
      </c>
      <c r="D50" s="105">
        <v>2500</v>
      </c>
      <c r="E50" s="105">
        <v>2500</v>
      </c>
      <c r="F50" s="106">
        <f t="shared" si="14"/>
        <v>2467.9850000000001</v>
      </c>
      <c r="G50" s="105">
        <v>126.11199999999999</v>
      </c>
      <c r="H50" s="105">
        <v>857.42499999999995</v>
      </c>
      <c r="I50" s="186">
        <v>144.45400000000001</v>
      </c>
      <c r="J50" s="186">
        <v>246.708</v>
      </c>
      <c r="K50" s="186">
        <v>433.55799999999999</v>
      </c>
      <c r="L50" s="186">
        <v>398.62400000000002</v>
      </c>
      <c r="M50" s="105">
        <v>261.10399999999998</v>
      </c>
      <c r="N50" s="105">
        <v>2447.9</v>
      </c>
      <c r="O50" s="105">
        <f t="shared" si="19"/>
        <v>20.085000000000036</v>
      </c>
      <c r="P50" s="164">
        <f t="shared" si="20"/>
        <v>100.82049920339884</v>
      </c>
      <c r="Q50" s="105">
        <f t="shared" si="27"/>
        <v>1458.3333333333335</v>
      </c>
      <c r="R50" s="105">
        <f t="shared" si="21"/>
        <v>1009.6516666666666</v>
      </c>
      <c r="S50" s="164">
        <f t="shared" si="22"/>
        <v>169.23325714285713</v>
      </c>
      <c r="T50" s="164">
        <f t="shared" si="23"/>
        <v>98.719400000000007</v>
      </c>
      <c r="U50" s="106">
        <v>7153.3399999999992</v>
      </c>
      <c r="V50" s="107">
        <f t="shared" si="46"/>
        <v>-4685.3549999999996</v>
      </c>
      <c r="W50" s="108">
        <f>F50/U50*100</f>
        <v>34.501156103302797</v>
      </c>
    </row>
    <row r="51" spans="1:30" s="71" customFormat="1" ht="58.5" x14ac:dyDescent="0.25">
      <c r="A51" s="67">
        <f t="shared" si="49"/>
        <v>23</v>
      </c>
      <c r="B51" s="76" t="s">
        <v>116</v>
      </c>
      <c r="C51" s="68" t="s">
        <v>115</v>
      </c>
      <c r="D51" s="105">
        <v>0.25</v>
      </c>
      <c r="E51" s="105">
        <v>6.25</v>
      </c>
      <c r="F51" s="106">
        <f t="shared" si="14"/>
        <v>7.3230000000000004</v>
      </c>
      <c r="G51" s="105">
        <v>0</v>
      </c>
      <c r="H51" s="105">
        <v>0</v>
      </c>
      <c r="I51" s="186">
        <v>0</v>
      </c>
      <c r="J51" s="186">
        <v>0</v>
      </c>
      <c r="K51" s="186">
        <v>6.234</v>
      </c>
      <c r="L51" s="186">
        <v>1.089</v>
      </c>
      <c r="M51" s="105">
        <v>0</v>
      </c>
      <c r="N51" s="105">
        <v>6.25</v>
      </c>
      <c r="O51" s="105">
        <f t="shared" si="19"/>
        <v>1.0730000000000004</v>
      </c>
      <c r="P51" s="164">
        <f t="shared" si="20"/>
        <v>117.16800000000001</v>
      </c>
      <c r="Q51" s="105">
        <f t="shared" si="27"/>
        <v>3.6458333333333335</v>
      </c>
      <c r="R51" s="105">
        <f t="shared" si="21"/>
        <v>3.6771666666666669</v>
      </c>
      <c r="S51" s="164">
        <f t="shared" si="22"/>
        <v>200.85942857142857</v>
      </c>
      <c r="T51" s="164">
        <f t="shared" si="23"/>
        <v>117.16800000000001</v>
      </c>
      <c r="U51" s="106">
        <v>0</v>
      </c>
      <c r="V51" s="107">
        <f t="shared" si="46"/>
        <v>7.3230000000000004</v>
      </c>
      <c r="W51" s="108"/>
      <c r="Y51" s="69">
        <f>F53-F49</f>
        <v>3183760.6930000004</v>
      </c>
      <c r="Z51" s="69">
        <f>U53-U49</f>
        <v>3068432.9389999998</v>
      </c>
      <c r="AA51" s="70">
        <f>Y51/Z51</f>
        <v>1.0375852287772618</v>
      </c>
    </row>
    <row r="52" spans="1:30" s="71" customFormat="1" ht="30" customHeight="1" x14ac:dyDescent="0.25">
      <c r="A52" s="67">
        <f t="shared" si="49"/>
        <v>24</v>
      </c>
      <c r="B52" s="76" t="s">
        <v>82</v>
      </c>
      <c r="C52" s="68" t="s">
        <v>81</v>
      </c>
      <c r="D52" s="105">
        <v>0.25</v>
      </c>
      <c r="E52" s="105">
        <v>0.25</v>
      </c>
      <c r="F52" s="106">
        <f t="shared" si="14"/>
        <v>0</v>
      </c>
      <c r="G52" s="105">
        <v>0</v>
      </c>
      <c r="H52" s="105">
        <v>0</v>
      </c>
      <c r="I52" s="186">
        <v>0</v>
      </c>
      <c r="J52" s="186">
        <v>0</v>
      </c>
      <c r="K52" s="186">
        <v>0</v>
      </c>
      <c r="L52" s="186">
        <v>0</v>
      </c>
      <c r="M52" s="105">
        <v>0</v>
      </c>
      <c r="N52" s="105">
        <v>0</v>
      </c>
      <c r="O52" s="105">
        <f t="shared" si="19"/>
        <v>0</v>
      </c>
      <c r="P52" s="164"/>
      <c r="Q52" s="105">
        <f t="shared" si="27"/>
        <v>0.14583333333333331</v>
      </c>
      <c r="R52" s="105">
        <f t="shared" si="21"/>
        <v>-0.14583333333333331</v>
      </c>
      <c r="S52" s="164">
        <f t="shared" si="22"/>
        <v>0</v>
      </c>
      <c r="T52" s="164">
        <f t="shared" si="23"/>
        <v>0</v>
      </c>
      <c r="U52" s="106">
        <v>0</v>
      </c>
      <c r="V52" s="107">
        <f t="shared" si="46"/>
        <v>0</v>
      </c>
      <c r="W52" s="108"/>
    </row>
    <row r="53" spans="1:30" s="81" customFormat="1" ht="42" customHeight="1" x14ac:dyDescent="0.3">
      <c r="A53" s="220" t="s">
        <v>148</v>
      </c>
      <c r="B53" s="220"/>
      <c r="C53" s="220"/>
      <c r="D53" s="78">
        <f>D7+D10+D11+D16+D24+D30+D31+D32+D33+D34+D35+D36+D39+D45+D46+D47+D48+D49+D50+D52+D51+D38+D37</f>
        <v>5219750.3770000003</v>
      </c>
      <c r="E53" s="78">
        <f>E7+E10+E11+E16+E24+E30+E31+E32+E33+E34+E35+E36+E39+E45+E46+E47+E48+E49+E50+E52+E51+E38+E37+E44+E23</f>
        <v>5355116.5549999997</v>
      </c>
      <c r="F53" s="78">
        <f t="shared" si="14"/>
        <v>3189316.2270000004</v>
      </c>
      <c r="G53" s="78">
        <f t="shared" ref="G53:M53" si="50">G7+G10+G11+G16+G24+G30+G31+G32+G33+G34+G35+G36+G39+G45+G46+G47+G48+G49+G50+G52+G51+G38+G37+G44+G23</f>
        <v>426745.84000000014</v>
      </c>
      <c r="H53" s="78">
        <f t="shared" si="50"/>
        <v>445489.51299999992</v>
      </c>
      <c r="I53" s="78">
        <f t="shared" si="50"/>
        <v>377705.67400000012</v>
      </c>
      <c r="J53" s="78">
        <f t="shared" si="50"/>
        <v>481176.41999999987</v>
      </c>
      <c r="K53" s="78">
        <f t="shared" si="50"/>
        <v>494993.17400000006</v>
      </c>
      <c r="L53" s="78">
        <f t="shared" si="50"/>
        <v>432875.951</v>
      </c>
      <c r="M53" s="78">
        <f t="shared" si="50"/>
        <v>530329.65500000014</v>
      </c>
      <c r="N53" s="78">
        <f>N7+N10+N11+N16+N24+N30+N31+N32+N33+N34+N35+N36+N39+N45+N46+N47+N48+N49+N50+N52+N51+N38+N37+N44+N23</f>
        <v>3089069.861</v>
      </c>
      <c r="O53" s="78">
        <f t="shared" si="19"/>
        <v>100246.36600000039</v>
      </c>
      <c r="P53" s="166">
        <f t="shared" si="20"/>
        <v>103.2451958198041</v>
      </c>
      <c r="Q53" s="78">
        <f>Q7+Q10+Q11+Q16+Q24+Q30+Q31+Q32+Q33+Q34+Q35+Q36+Q39+Q45+Q46+Q47+Q48+Q49+Q50+Q52+Q51+Q38+Q37+Q44+Q23</f>
        <v>3123817.990416667</v>
      </c>
      <c r="R53" s="78">
        <f t="shared" si="21"/>
        <v>65498.236583333462</v>
      </c>
      <c r="S53" s="166">
        <f t="shared" si="22"/>
        <v>102.09673664676593</v>
      </c>
      <c r="T53" s="166">
        <f>F53/E53*100</f>
        <v>59.556429710613465</v>
      </c>
      <c r="U53" s="78">
        <f>U7+U10+U11+U16+U24+U30+U31+U32+U33+U34+U35+U36+U39+U45+U46+U47+U48+U49+U50+U52+U51+U38+U23+U37</f>
        <v>3070825.605</v>
      </c>
      <c r="V53" s="79">
        <f t="shared" si="46"/>
        <v>118490.62200000044</v>
      </c>
      <c r="W53" s="80">
        <f>F53/U53*100</f>
        <v>103.85859170273528</v>
      </c>
      <c r="X53" s="82">
        <v>3070825.6050000004</v>
      </c>
      <c r="Y53" s="82">
        <f>X53-U53</f>
        <v>0</v>
      </c>
      <c r="AB53" s="82" t="e">
        <f>#REF!-#REF!-#REF!</f>
        <v>#REF!</v>
      </c>
      <c r="AD53" s="81">
        <v>294547.38299999997</v>
      </c>
    </row>
    <row r="54" spans="1:30" s="81" customFormat="1" ht="46.5" hidden="1" customHeight="1" x14ac:dyDescent="0.3">
      <c r="A54" s="220" t="s">
        <v>160</v>
      </c>
      <c r="B54" s="220"/>
      <c r="C54" s="220"/>
      <c r="D54" s="78">
        <f>D53</f>
        <v>5219750.3770000003</v>
      </c>
      <c r="E54" s="78">
        <f>E53</f>
        <v>5355116.5549999997</v>
      </c>
      <c r="F54" s="78">
        <f t="shared" si="14"/>
        <v>3189316.2270000004</v>
      </c>
      <c r="G54" s="78">
        <f t="shared" ref="G54:N54" si="51">G53</f>
        <v>426745.84000000014</v>
      </c>
      <c r="H54" s="78">
        <f t="shared" si="51"/>
        <v>445489.51299999992</v>
      </c>
      <c r="I54" s="78">
        <f t="shared" si="51"/>
        <v>377705.67400000012</v>
      </c>
      <c r="J54" s="78">
        <f t="shared" si="51"/>
        <v>481176.41999999987</v>
      </c>
      <c r="K54" s="78">
        <f t="shared" ref="K54:L54" si="52">K53</f>
        <v>494993.17400000006</v>
      </c>
      <c r="L54" s="78">
        <f t="shared" si="52"/>
        <v>432875.951</v>
      </c>
      <c r="M54" s="78">
        <f t="shared" si="51"/>
        <v>530329.65500000014</v>
      </c>
      <c r="N54" s="78">
        <f t="shared" si="51"/>
        <v>3089069.861</v>
      </c>
      <c r="O54" s="78">
        <f t="shared" si="19"/>
        <v>100246.36600000039</v>
      </c>
      <c r="P54" s="166">
        <f t="shared" si="20"/>
        <v>103.2451958198041</v>
      </c>
      <c r="Q54" s="78">
        <f>Q53</f>
        <v>3123817.990416667</v>
      </c>
      <c r="R54" s="78">
        <f t="shared" si="21"/>
        <v>65498.236583333462</v>
      </c>
      <c r="S54" s="166">
        <f t="shared" si="22"/>
        <v>102.09673664676593</v>
      </c>
      <c r="T54" s="166">
        <f t="shared" si="23"/>
        <v>59.556429710613465</v>
      </c>
      <c r="U54" s="78">
        <f>U53-U8</f>
        <v>2559986.9819999998</v>
      </c>
      <c r="V54" s="79">
        <f t="shared" si="46"/>
        <v>629329.24500000058</v>
      </c>
      <c r="W54" s="80">
        <f>F54/U54*100</f>
        <v>124.58329864272726</v>
      </c>
      <c r="X54" s="82"/>
      <c r="Y54" s="82"/>
      <c r="AB54" s="82"/>
    </row>
    <row r="55" spans="1:30" s="9" customFormat="1" ht="75" x14ac:dyDescent="0.25">
      <c r="A55" s="23">
        <v>1</v>
      </c>
      <c r="B55" s="203" t="s">
        <v>179</v>
      </c>
      <c r="C55" s="24" t="s">
        <v>180</v>
      </c>
      <c r="D55" s="113">
        <v>0</v>
      </c>
      <c r="E55" s="113">
        <v>0</v>
      </c>
      <c r="F55" s="106">
        <f t="shared" si="14"/>
        <v>0</v>
      </c>
      <c r="G55" s="105">
        <v>0</v>
      </c>
      <c r="H55" s="105">
        <v>0</v>
      </c>
      <c r="I55" s="186">
        <v>0</v>
      </c>
      <c r="J55" s="186">
        <v>0</v>
      </c>
      <c r="K55" s="186">
        <v>0</v>
      </c>
      <c r="L55" s="186">
        <v>0</v>
      </c>
      <c r="M55" s="105">
        <v>0</v>
      </c>
      <c r="N55" s="105">
        <v>0</v>
      </c>
      <c r="O55" s="186">
        <f t="shared" si="19"/>
        <v>0</v>
      </c>
      <c r="P55" s="164"/>
      <c r="Q55" s="186">
        <f>N55</f>
        <v>0</v>
      </c>
      <c r="R55" s="186">
        <f t="shared" si="21"/>
        <v>0</v>
      </c>
      <c r="S55" s="164"/>
      <c r="T55" s="164"/>
      <c r="U55" s="106">
        <v>6414.1</v>
      </c>
      <c r="V55" s="107">
        <f t="shared" ref="V55:V56" si="53">F55-U55</f>
        <v>-6414.1</v>
      </c>
      <c r="W55" s="108">
        <f>F55/U55*100</f>
        <v>0</v>
      </c>
      <c r="X55" s="37"/>
      <c r="Y55" s="37"/>
      <c r="Z55" s="37"/>
      <c r="AA55" s="39"/>
    </row>
    <row r="56" spans="1:30" s="9" customFormat="1" ht="37.5" x14ac:dyDescent="0.25">
      <c r="A56" s="23">
        <f>A55+1</f>
        <v>2</v>
      </c>
      <c r="B56" s="203" t="s">
        <v>197</v>
      </c>
      <c r="C56" s="24" t="s">
        <v>196</v>
      </c>
      <c r="D56" s="113">
        <v>0</v>
      </c>
      <c r="E56" s="113">
        <v>841</v>
      </c>
      <c r="F56" s="106">
        <f t="shared" si="14"/>
        <v>434.2</v>
      </c>
      <c r="G56" s="186">
        <v>0</v>
      </c>
      <c r="H56" s="186">
        <v>0</v>
      </c>
      <c r="I56" s="186">
        <v>0</v>
      </c>
      <c r="J56" s="186">
        <v>0</v>
      </c>
      <c r="K56" s="186">
        <v>0</v>
      </c>
      <c r="L56" s="186">
        <v>237.1</v>
      </c>
      <c r="M56" s="186">
        <v>197.1</v>
      </c>
      <c r="N56" s="186">
        <v>434.2</v>
      </c>
      <c r="O56" s="186">
        <f t="shared" ref="O56" si="54">F56-N56</f>
        <v>0</v>
      </c>
      <c r="P56" s="164">
        <f t="shared" ref="P56" si="55">F56/N56*100</f>
        <v>100</v>
      </c>
      <c r="Q56" s="186">
        <f>N56</f>
        <v>434.2</v>
      </c>
      <c r="R56" s="186">
        <f t="shared" ref="R56" si="56">F56-Q56</f>
        <v>0</v>
      </c>
      <c r="S56" s="164">
        <f t="shared" ref="S56" si="57">F56/Q56*100</f>
        <v>100</v>
      </c>
      <c r="T56" s="164">
        <f t="shared" ref="T56" si="58">F56/E56*100</f>
        <v>51.629013079667061</v>
      </c>
      <c r="U56" s="106">
        <v>0</v>
      </c>
      <c r="V56" s="107">
        <f t="shared" si="53"/>
        <v>434.2</v>
      </c>
      <c r="W56" s="108"/>
      <c r="X56" s="37"/>
      <c r="Y56" s="37"/>
      <c r="Z56" s="37"/>
      <c r="AA56" s="39"/>
    </row>
    <row r="57" spans="1:30" s="9" customFormat="1" ht="23.25" x14ac:dyDescent="0.25">
      <c r="A57" s="23">
        <f t="shared" ref="A57:A67" si="59">A56+1</f>
        <v>3</v>
      </c>
      <c r="B57" s="203" t="s">
        <v>134</v>
      </c>
      <c r="C57" s="24" t="s">
        <v>55</v>
      </c>
      <c r="D57" s="113">
        <v>879086.1</v>
      </c>
      <c r="E57" s="113">
        <v>879086.1</v>
      </c>
      <c r="F57" s="106">
        <f t="shared" si="14"/>
        <v>543007.20000000007</v>
      </c>
      <c r="G57" s="105">
        <v>63808.4</v>
      </c>
      <c r="H57" s="105">
        <v>63802.3</v>
      </c>
      <c r="I57" s="186">
        <v>68537.3</v>
      </c>
      <c r="J57" s="186">
        <v>77227.5</v>
      </c>
      <c r="K57" s="186">
        <v>77274.399999999994</v>
      </c>
      <c r="L57" s="186">
        <v>167706.4</v>
      </c>
      <c r="M57" s="105">
        <v>24650.9</v>
      </c>
      <c r="N57" s="105">
        <v>543007.19999999995</v>
      </c>
      <c r="O57" s="105">
        <f t="shared" si="19"/>
        <v>0</v>
      </c>
      <c r="P57" s="164">
        <f t="shared" si="20"/>
        <v>100.00000000000003</v>
      </c>
      <c r="Q57" s="105">
        <f>N57</f>
        <v>543007.19999999995</v>
      </c>
      <c r="R57" s="105">
        <f t="shared" si="21"/>
        <v>0</v>
      </c>
      <c r="S57" s="164">
        <f t="shared" si="22"/>
        <v>100.00000000000003</v>
      </c>
      <c r="T57" s="164">
        <f t="shared" si="23"/>
        <v>61.769512679133484</v>
      </c>
      <c r="U57" s="106">
        <v>484291.40000000008</v>
      </c>
      <c r="V57" s="107">
        <f t="shared" si="46"/>
        <v>58715.799999999988</v>
      </c>
      <c r="W57" s="108">
        <f>F57/U57*100</f>
        <v>112.12406414815544</v>
      </c>
      <c r="X57" s="37"/>
      <c r="Y57" s="37"/>
      <c r="Z57" s="37"/>
      <c r="AA57" s="39"/>
    </row>
    <row r="58" spans="1:30" s="9" customFormat="1" ht="23.25" x14ac:dyDescent="0.25">
      <c r="A58" s="23">
        <f t="shared" si="59"/>
        <v>4</v>
      </c>
      <c r="B58" s="203" t="s">
        <v>172</v>
      </c>
      <c r="C58" s="24" t="s">
        <v>171</v>
      </c>
      <c r="D58" s="113">
        <v>0</v>
      </c>
      <c r="E58" s="113">
        <v>4050.5970000000002</v>
      </c>
      <c r="F58" s="106">
        <f t="shared" si="14"/>
        <v>4050.5970000000002</v>
      </c>
      <c r="G58" s="105">
        <v>0</v>
      </c>
      <c r="H58" s="105">
        <v>561.92399999999998</v>
      </c>
      <c r="I58" s="186">
        <v>0</v>
      </c>
      <c r="J58" s="186">
        <v>1564.171</v>
      </c>
      <c r="K58" s="186">
        <v>0</v>
      </c>
      <c r="L58" s="186">
        <v>730.01800000000003</v>
      </c>
      <c r="M58" s="105">
        <v>1194.4839999999999</v>
      </c>
      <c r="N58" s="105">
        <v>4050.5970000000002</v>
      </c>
      <c r="O58" s="105">
        <f t="shared" si="19"/>
        <v>0</v>
      </c>
      <c r="P58" s="164">
        <f t="shared" si="20"/>
        <v>100</v>
      </c>
      <c r="Q58" s="105">
        <f>N58</f>
        <v>4050.5970000000002</v>
      </c>
      <c r="R58" s="105">
        <f t="shared" ref="R58" si="60">F58-Q58</f>
        <v>0</v>
      </c>
      <c r="S58" s="164">
        <f t="shared" ref="S58" si="61">F58/Q58*100</f>
        <v>100</v>
      </c>
      <c r="T58" s="164">
        <f>F58/E58*100</f>
        <v>100</v>
      </c>
      <c r="U58" s="106">
        <v>3201.0839999999998</v>
      </c>
      <c r="V58" s="107">
        <f t="shared" si="46"/>
        <v>849.51300000000037</v>
      </c>
      <c r="W58" s="108">
        <f>F58/U58*100</f>
        <v>126.53829140378699</v>
      </c>
      <c r="X58" s="37"/>
      <c r="Y58" s="37"/>
      <c r="Z58" s="37"/>
      <c r="AA58" s="39"/>
    </row>
    <row r="59" spans="1:30" s="9" customFormat="1" ht="243.75" x14ac:dyDescent="0.25">
      <c r="A59" s="23">
        <f t="shared" si="59"/>
        <v>5</v>
      </c>
      <c r="B59" s="204" t="s">
        <v>208</v>
      </c>
      <c r="C59" s="130">
        <v>41050400</v>
      </c>
      <c r="D59" s="113">
        <v>0</v>
      </c>
      <c r="E59" s="113">
        <v>121536.639</v>
      </c>
      <c r="F59" s="106">
        <f t="shared" si="14"/>
        <v>76788.573000000004</v>
      </c>
      <c r="G59" s="186"/>
      <c r="H59" s="186"/>
      <c r="I59" s="186"/>
      <c r="J59" s="186"/>
      <c r="K59" s="186"/>
      <c r="L59" s="186"/>
      <c r="M59" s="186">
        <v>76788.573000000004</v>
      </c>
      <c r="N59" s="186">
        <v>76788.573000000004</v>
      </c>
      <c r="O59" s="186">
        <f t="shared" ref="O59:O61" si="62">F59-N59</f>
        <v>0</v>
      </c>
      <c r="P59" s="164">
        <f t="shared" ref="P59:P61" si="63">F59/N59*100</f>
        <v>100</v>
      </c>
      <c r="Q59" s="186">
        <f t="shared" ref="Q59:Q61" si="64">N59</f>
        <v>76788.573000000004</v>
      </c>
      <c r="R59" s="186">
        <f t="shared" ref="R59:R61" si="65">F59-Q59</f>
        <v>0</v>
      </c>
      <c r="S59" s="164">
        <f t="shared" ref="S59:S61" si="66">F59/Q59*100</f>
        <v>100</v>
      </c>
      <c r="T59" s="164">
        <f t="shared" ref="T59:T61" si="67">F59/E59*100</f>
        <v>63.181418897061981</v>
      </c>
      <c r="U59" s="106">
        <v>25812.348999999998</v>
      </c>
      <c r="V59" s="107">
        <f t="shared" ref="V59:V61" si="68">F59-U59</f>
        <v>50976.224000000002</v>
      </c>
      <c r="W59" s="108">
        <f t="shared" ref="W59:W61" si="69">F59/U59*100</f>
        <v>297.48773736167914</v>
      </c>
      <c r="X59" s="37"/>
      <c r="Y59" s="37"/>
      <c r="Z59" s="37"/>
      <c r="AA59" s="39"/>
    </row>
    <row r="60" spans="1:30" s="9" customFormat="1" ht="168.75" x14ac:dyDescent="0.25">
      <c r="A60" s="23">
        <f t="shared" si="59"/>
        <v>6</v>
      </c>
      <c r="B60" s="204" t="s">
        <v>209</v>
      </c>
      <c r="C60" s="130">
        <v>41050500</v>
      </c>
      <c r="D60" s="113">
        <v>0</v>
      </c>
      <c r="E60" s="113">
        <v>6536.9610000000002</v>
      </c>
      <c r="F60" s="106">
        <f t="shared" si="14"/>
        <v>6536.9610000000002</v>
      </c>
      <c r="G60" s="186"/>
      <c r="H60" s="186"/>
      <c r="I60" s="186"/>
      <c r="J60" s="186"/>
      <c r="K60" s="186"/>
      <c r="L60" s="186"/>
      <c r="M60" s="186">
        <v>6536.9610000000002</v>
      </c>
      <c r="N60" s="186">
        <v>6536.96</v>
      </c>
      <c r="O60" s="186">
        <f t="shared" si="62"/>
        <v>1.0000000002037268E-3</v>
      </c>
      <c r="P60" s="164">
        <f t="shared" si="63"/>
        <v>100.0000152976307</v>
      </c>
      <c r="Q60" s="186">
        <f t="shared" si="64"/>
        <v>6536.96</v>
      </c>
      <c r="R60" s="186">
        <f t="shared" si="65"/>
        <v>1.0000000002037268E-3</v>
      </c>
      <c r="S60" s="164">
        <f t="shared" si="66"/>
        <v>100.0000152976307</v>
      </c>
      <c r="T60" s="164">
        <f t="shared" si="67"/>
        <v>100</v>
      </c>
      <c r="U60" s="106">
        <v>9265.4719999999998</v>
      </c>
      <c r="V60" s="107">
        <f t="shared" si="68"/>
        <v>-2728.5109999999995</v>
      </c>
      <c r="W60" s="108">
        <f t="shared" si="69"/>
        <v>70.551840208464284</v>
      </c>
      <c r="X60" s="37"/>
      <c r="Y60" s="37"/>
      <c r="Z60" s="37"/>
      <c r="AA60" s="39"/>
    </row>
    <row r="61" spans="1:30" s="9" customFormat="1" ht="240" customHeight="1" x14ac:dyDescent="0.25">
      <c r="A61" s="23">
        <f t="shared" si="59"/>
        <v>7</v>
      </c>
      <c r="B61" s="204" t="s">
        <v>210</v>
      </c>
      <c r="C61" s="130">
        <v>41050600</v>
      </c>
      <c r="D61" s="113">
        <v>0</v>
      </c>
      <c r="E61" s="113">
        <v>27497.331999999999</v>
      </c>
      <c r="F61" s="106">
        <f t="shared" si="14"/>
        <v>18096.772000000001</v>
      </c>
      <c r="G61" s="186"/>
      <c r="H61" s="186"/>
      <c r="I61" s="186"/>
      <c r="J61" s="186"/>
      <c r="K61" s="186"/>
      <c r="L61" s="186"/>
      <c r="M61" s="186">
        <v>18096.772000000001</v>
      </c>
      <c r="N61" s="186">
        <v>18096.772000000001</v>
      </c>
      <c r="O61" s="186">
        <f t="shared" si="62"/>
        <v>0</v>
      </c>
      <c r="P61" s="164">
        <f t="shared" si="63"/>
        <v>100</v>
      </c>
      <c r="Q61" s="186">
        <f t="shared" si="64"/>
        <v>18096.772000000001</v>
      </c>
      <c r="R61" s="186">
        <f t="shared" si="65"/>
        <v>0</v>
      </c>
      <c r="S61" s="164">
        <f t="shared" si="66"/>
        <v>100</v>
      </c>
      <c r="T61" s="164">
        <f t="shared" si="67"/>
        <v>65.812828677342225</v>
      </c>
      <c r="U61" s="106">
        <v>23144.884999999998</v>
      </c>
      <c r="V61" s="107">
        <f t="shared" si="68"/>
        <v>-5048.1129999999976</v>
      </c>
      <c r="W61" s="108">
        <f t="shared" si="69"/>
        <v>78.189077197834436</v>
      </c>
      <c r="X61" s="37"/>
      <c r="Y61" s="37"/>
      <c r="Z61" s="37"/>
      <c r="AA61" s="39"/>
    </row>
    <row r="62" spans="1:30" s="9" customFormat="1" ht="37.5" x14ac:dyDescent="0.25">
      <c r="A62" s="23">
        <f t="shared" si="59"/>
        <v>8</v>
      </c>
      <c r="B62" s="204" t="s">
        <v>135</v>
      </c>
      <c r="C62" s="130" t="s">
        <v>112</v>
      </c>
      <c r="D62" s="113">
        <v>23435.05</v>
      </c>
      <c r="E62" s="113">
        <v>23435.05</v>
      </c>
      <c r="F62" s="106">
        <f t="shared" si="14"/>
        <v>14475.566000000001</v>
      </c>
      <c r="G62" s="105">
        <v>1701.0619999999999</v>
      </c>
      <c r="H62" s="105">
        <v>1700.758</v>
      </c>
      <c r="I62" s="186">
        <v>1827.075</v>
      </c>
      <c r="J62" s="186">
        <v>2058.7849999999999</v>
      </c>
      <c r="K62" s="186">
        <v>2059.9450000000002</v>
      </c>
      <c r="L62" s="186">
        <v>4470.8270000000002</v>
      </c>
      <c r="M62" s="105">
        <v>657.11400000000003</v>
      </c>
      <c r="N62" s="105">
        <v>14475.566000000001</v>
      </c>
      <c r="O62" s="105">
        <f t="shared" si="19"/>
        <v>0</v>
      </c>
      <c r="P62" s="164">
        <f t="shared" si="20"/>
        <v>100</v>
      </c>
      <c r="Q62" s="105">
        <f t="shared" ref="Q62:Q70" si="70">N62</f>
        <v>14475.566000000001</v>
      </c>
      <c r="R62" s="105">
        <f t="shared" si="21"/>
        <v>0</v>
      </c>
      <c r="S62" s="164">
        <f t="shared" si="22"/>
        <v>100</v>
      </c>
      <c r="T62" s="164">
        <f t="shared" si="23"/>
        <v>61.768871839402948</v>
      </c>
      <c r="U62" s="106">
        <v>11365.188</v>
      </c>
      <c r="V62" s="107">
        <f t="shared" si="46"/>
        <v>3110.3780000000006</v>
      </c>
      <c r="W62" s="108">
        <f>F62/U62*100</f>
        <v>127.36758951985661</v>
      </c>
    </row>
    <row r="63" spans="1:30" s="9" customFormat="1" ht="37.5" x14ac:dyDescent="0.25">
      <c r="A63" s="23">
        <f t="shared" si="59"/>
        <v>9</v>
      </c>
      <c r="B63" s="204" t="s">
        <v>136</v>
      </c>
      <c r="C63" s="130">
        <v>41051200</v>
      </c>
      <c r="D63" s="113">
        <v>0</v>
      </c>
      <c r="E63" s="113">
        <v>2257.1999999999998</v>
      </c>
      <c r="F63" s="106">
        <f t="shared" si="14"/>
        <v>1977.5</v>
      </c>
      <c r="G63" s="105">
        <v>0</v>
      </c>
      <c r="H63" s="186">
        <v>0</v>
      </c>
      <c r="I63" s="186">
        <v>0</v>
      </c>
      <c r="J63" s="186">
        <v>0</v>
      </c>
      <c r="K63" s="186">
        <v>0</v>
      </c>
      <c r="L63" s="186">
        <v>0</v>
      </c>
      <c r="M63" s="186">
        <v>1977.5</v>
      </c>
      <c r="N63" s="105">
        <v>1977.5</v>
      </c>
      <c r="O63" s="105">
        <f t="shared" ref="O63:O66" si="71">F63-N63</f>
        <v>0</v>
      </c>
      <c r="P63" s="164">
        <f t="shared" ref="P63:P65" si="72">F63/N63*100</f>
        <v>100</v>
      </c>
      <c r="Q63" s="186">
        <f t="shared" ref="Q63:Q66" si="73">N63</f>
        <v>1977.5</v>
      </c>
      <c r="R63" s="186">
        <f t="shared" ref="R63:R66" si="74">F63-Q63</f>
        <v>0</v>
      </c>
      <c r="S63" s="164">
        <f t="shared" ref="S63:S65" si="75">F63/Q63*100</f>
        <v>100</v>
      </c>
      <c r="T63" s="164">
        <f t="shared" ref="T63:T65" si="76">F63/E63*100</f>
        <v>87.60854155590998</v>
      </c>
      <c r="U63" s="106">
        <v>1524.7260000000001</v>
      </c>
      <c r="V63" s="107">
        <f t="shared" si="46"/>
        <v>452.77399999999989</v>
      </c>
      <c r="W63" s="108">
        <f>F63/U63*100</f>
        <v>129.69543380253239</v>
      </c>
    </row>
    <row r="64" spans="1:30" s="9" customFormat="1" ht="56.25" x14ac:dyDescent="0.25">
      <c r="A64" s="23">
        <f t="shared" si="59"/>
        <v>10</v>
      </c>
      <c r="B64" s="204" t="s">
        <v>181</v>
      </c>
      <c r="C64" s="130" t="s">
        <v>182</v>
      </c>
      <c r="D64" s="113">
        <v>0</v>
      </c>
      <c r="E64" s="113">
        <v>755.755</v>
      </c>
      <c r="F64" s="106">
        <f t="shared" si="14"/>
        <v>755.755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755.755</v>
      </c>
      <c r="N64" s="105">
        <v>755.755</v>
      </c>
      <c r="O64" s="186">
        <f t="shared" si="71"/>
        <v>0</v>
      </c>
      <c r="P64" s="164">
        <f t="shared" si="72"/>
        <v>100</v>
      </c>
      <c r="Q64" s="186">
        <f t="shared" si="73"/>
        <v>755.755</v>
      </c>
      <c r="R64" s="186">
        <f t="shared" si="74"/>
        <v>0</v>
      </c>
      <c r="S64" s="164">
        <f t="shared" si="75"/>
        <v>100</v>
      </c>
      <c r="T64" s="164">
        <f t="shared" si="76"/>
        <v>100</v>
      </c>
      <c r="U64" s="106">
        <v>2073.1129999999998</v>
      </c>
      <c r="V64" s="107">
        <f t="shared" si="46"/>
        <v>-1317.3579999999997</v>
      </c>
      <c r="W64" s="108">
        <f>F64/U64*100</f>
        <v>36.455079872635984</v>
      </c>
    </row>
    <row r="65" spans="1:25" s="9" customFormat="1" ht="56.25" x14ac:dyDescent="0.25">
      <c r="A65" s="23">
        <f t="shared" si="59"/>
        <v>11</v>
      </c>
      <c r="B65" s="204" t="s">
        <v>190</v>
      </c>
      <c r="C65" s="130">
        <v>41057700</v>
      </c>
      <c r="D65" s="113">
        <v>0</v>
      </c>
      <c r="E65" s="113">
        <v>51.972000000000001</v>
      </c>
      <c r="F65" s="106">
        <f t="shared" si="14"/>
        <v>51.972000000000001</v>
      </c>
      <c r="G65" s="186">
        <v>0</v>
      </c>
      <c r="H65" s="186">
        <v>0</v>
      </c>
      <c r="I65" s="186">
        <v>0</v>
      </c>
      <c r="J65" s="186">
        <v>20.788</v>
      </c>
      <c r="K65" s="186">
        <v>10.395</v>
      </c>
      <c r="L65" s="186">
        <v>10.395</v>
      </c>
      <c r="M65" s="186">
        <v>10.394</v>
      </c>
      <c r="N65" s="186">
        <v>51.972000000000001</v>
      </c>
      <c r="O65" s="186">
        <f t="shared" si="71"/>
        <v>0</v>
      </c>
      <c r="P65" s="164">
        <f t="shared" si="72"/>
        <v>100</v>
      </c>
      <c r="Q65" s="186">
        <f t="shared" si="73"/>
        <v>51.972000000000001</v>
      </c>
      <c r="R65" s="186">
        <f t="shared" si="74"/>
        <v>0</v>
      </c>
      <c r="S65" s="164">
        <f t="shared" si="75"/>
        <v>100</v>
      </c>
      <c r="T65" s="164">
        <f t="shared" si="76"/>
        <v>100</v>
      </c>
      <c r="U65" s="106">
        <v>0</v>
      </c>
      <c r="V65" s="107">
        <f t="shared" si="46"/>
        <v>51.972000000000001</v>
      </c>
      <c r="W65" s="108"/>
    </row>
    <row r="66" spans="1:25" s="9" customFormat="1" ht="37.5" x14ac:dyDescent="0.25">
      <c r="A66" s="23">
        <f t="shared" si="59"/>
        <v>12</v>
      </c>
      <c r="B66" s="204" t="s">
        <v>211</v>
      </c>
      <c r="C66" s="130" t="s">
        <v>212</v>
      </c>
      <c r="D66" s="113">
        <v>0</v>
      </c>
      <c r="E66" s="113">
        <v>0</v>
      </c>
      <c r="F66" s="106">
        <f t="shared" si="14"/>
        <v>0</v>
      </c>
      <c r="G66" s="186">
        <v>0</v>
      </c>
      <c r="H66" s="186">
        <v>0</v>
      </c>
      <c r="I66" s="186">
        <v>0</v>
      </c>
      <c r="J66" s="186">
        <v>0</v>
      </c>
      <c r="K66" s="186">
        <v>0</v>
      </c>
      <c r="L66" s="186">
        <v>0</v>
      </c>
      <c r="M66" s="186">
        <v>0</v>
      </c>
      <c r="N66" s="186"/>
      <c r="O66" s="186">
        <f t="shared" si="71"/>
        <v>0</v>
      </c>
      <c r="P66" s="164"/>
      <c r="Q66" s="186">
        <f t="shared" si="73"/>
        <v>0</v>
      </c>
      <c r="R66" s="186">
        <f t="shared" si="74"/>
        <v>0</v>
      </c>
      <c r="S66" s="164"/>
      <c r="T66" s="164"/>
      <c r="U66" s="106">
        <v>2871.12</v>
      </c>
      <c r="V66" s="107">
        <f t="shared" si="46"/>
        <v>-2871.12</v>
      </c>
      <c r="W66" s="108"/>
    </row>
    <row r="67" spans="1:25" s="9" customFormat="1" ht="23.25" x14ac:dyDescent="0.25">
      <c r="A67" s="23">
        <f t="shared" si="59"/>
        <v>13</v>
      </c>
      <c r="B67" s="205" t="s">
        <v>137</v>
      </c>
      <c r="C67" s="130" t="s">
        <v>104</v>
      </c>
      <c r="D67" s="113">
        <f>SUM(D68:D74)</f>
        <v>1982.317</v>
      </c>
      <c r="E67" s="113">
        <f>SUM(E68:E74)</f>
        <v>2624.3649999999998</v>
      </c>
      <c r="F67" s="106">
        <f t="shared" si="14"/>
        <v>1555.479</v>
      </c>
      <c r="G67" s="105">
        <f t="shared" ref="G67:N67" si="77">SUM(G68:G74)</f>
        <v>0</v>
      </c>
      <c r="H67" s="105">
        <f t="shared" si="77"/>
        <v>129.971</v>
      </c>
      <c r="I67" s="186">
        <f t="shared" si="77"/>
        <v>331.63199999999995</v>
      </c>
      <c r="J67" s="186">
        <f t="shared" si="77"/>
        <v>289.63200000000001</v>
      </c>
      <c r="K67" s="186">
        <f t="shared" ref="K67" si="78">SUM(K68:K74)</f>
        <v>207.55799999999999</v>
      </c>
      <c r="L67" s="186">
        <f>SUM(L68:L74)</f>
        <v>226.85399999999998</v>
      </c>
      <c r="M67" s="105">
        <f>SUM(M68:M74)</f>
        <v>369.83200000000005</v>
      </c>
      <c r="N67" s="105">
        <f t="shared" si="77"/>
        <v>1736.913</v>
      </c>
      <c r="O67" s="105">
        <f t="shared" si="19"/>
        <v>-181.43399999999997</v>
      </c>
      <c r="P67" s="164">
        <f t="shared" si="20"/>
        <v>89.554226377486955</v>
      </c>
      <c r="Q67" s="105">
        <f t="shared" si="70"/>
        <v>1736.913</v>
      </c>
      <c r="R67" s="105">
        <f t="shared" si="21"/>
        <v>-181.43399999999997</v>
      </c>
      <c r="S67" s="164">
        <f t="shared" si="22"/>
        <v>89.554226377486955</v>
      </c>
      <c r="T67" s="164">
        <f t="shared" si="23"/>
        <v>59.27068071704965</v>
      </c>
      <c r="U67" s="106">
        <f>SUM(U68:U74)</f>
        <v>4308.7170000000006</v>
      </c>
      <c r="V67" s="107">
        <f t="shared" si="46"/>
        <v>-2753.2380000000003</v>
      </c>
      <c r="W67" s="108">
        <f t="shared" ref="W67:W70" si="79">F67/U67*100</f>
        <v>36.100746463506418</v>
      </c>
      <c r="X67" s="106"/>
      <c r="Y67" s="106"/>
    </row>
    <row r="68" spans="1:25" s="36" customFormat="1" ht="37.5" x14ac:dyDescent="0.25">
      <c r="A68" s="35" t="s">
        <v>213</v>
      </c>
      <c r="B68" s="206" t="s">
        <v>138</v>
      </c>
      <c r="C68" s="93"/>
      <c r="D68" s="114">
        <v>105</v>
      </c>
      <c r="E68" s="114">
        <v>105</v>
      </c>
      <c r="F68" s="188">
        <f t="shared" si="14"/>
        <v>14.141</v>
      </c>
      <c r="G68" s="109">
        <v>0</v>
      </c>
      <c r="H68" s="182">
        <v>3.7240000000000002</v>
      </c>
      <c r="I68" s="187">
        <v>0</v>
      </c>
      <c r="J68" s="187">
        <v>0</v>
      </c>
      <c r="K68" s="187">
        <v>0</v>
      </c>
      <c r="L68" s="187">
        <v>2.9689999999999999</v>
      </c>
      <c r="M68" s="109">
        <v>7.4480000000000004</v>
      </c>
      <c r="N68" s="109">
        <v>61.62</v>
      </c>
      <c r="O68" s="109">
        <f t="shared" si="19"/>
        <v>-47.478999999999999</v>
      </c>
      <c r="P68" s="165">
        <f t="shared" si="20"/>
        <v>22.948717948717949</v>
      </c>
      <c r="Q68" s="109">
        <f t="shared" si="70"/>
        <v>61.62</v>
      </c>
      <c r="R68" s="109">
        <f t="shared" si="21"/>
        <v>-47.478999999999999</v>
      </c>
      <c r="S68" s="165">
        <f t="shared" si="22"/>
        <v>22.948717948717949</v>
      </c>
      <c r="T68" s="165">
        <f t="shared" si="23"/>
        <v>13.467619047619047</v>
      </c>
      <c r="U68" s="110">
        <v>19.766999999999999</v>
      </c>
      <c r="V68" s="111">
        <f t="shared" si="46"/>
        <v>-5.6259999999999994</v>
      </c>
      <c r="W68" s="112">
        <f t="shared" si="79"/>
        <v>71.538422623564529</v>
      </c>
    </row>
    <row r="69" spans="1:25" s="36" customFormat="1" ht="37.5" x14ac:dyDescent="0.25">
      <c r="A69" s="35" t="s">
        <v>214</v>
      </c>
      <c r="B69" s="206" t="s">
        <v>139</v>
      </c>
      <c r="C69" s="93"/>
      <c r="D69" s="114">
        <v>1246.7</v>
      </c>
      <c r="E69" s="114">
        <v>1246.7</v>
      </c>
      <c r="F69" s="188">
        <f t="shared" si="14"/>
        <v>567.745</v>
      </c>
      <c r="G69" s="109">
        <v>0</v>
      </c>
      <c r="H69" s="182">
        <v>58.584000000000003</v>
      </c>
      <c r="I69" s="187">
        <v>65.713999999999999</v>
      </c>
      <c r="J69" s="187">
        <v>117.73099999999999</v>
      </c>
      <c r="K69" s="187">
        <v>139.89500000000001</v>
      </c>
      <c r="L69" s="187">
        <v>138.642</v>
      </c>
      <c r="M69" s="109">
        <v>47.179000000000002</v>
      </c>
      <c r="N69" s="109">
        <v>567.745</v>
      </c>
      <c r="O69" s="109">
        <f t="shared" si="19"/>
        <v>0</v>
      </c>
      <c r="P69" s="165">
        <f t="shared" si="20"/>
        <v>100</v>
      </c>
      <c r="Q69" s="109">
        <f t="shared" si="70"/>
        <v>567.745</v>
      </c>
      <c r="R69" s="109">
        <f t="shared" si="21"/>
        <v>0</v>
      </c>
      <c r="S69" s="165">
        <f t="shared" si="22"/>
        <v>100</v>
      </c>
      <c r="T69" s="165">
        <f t="shared" si="23"/>
        <v>45.539825138365281</v>
      </c>
      <c r="U69" s="110">
        <v>808.27899999999988</v>
      </c>
      <c r="V69" s="111">
        <f t="shared" si="46"/>
        <v>-240.53399999999988</v>
      </c>
      <c r="W69" s="112">
        <f t="shared" si="79"/>
        <v>70.241216213708384</v>
      </c>
    </row>
    <row r="70" spans="1:25" s="36" customFormat="1" ht="56.25" x14ac:dyDescent="0.25">
      <c r="A70" s="35" t="s">
        <v>215</v>
      </c>
      <c r="B70" s="206" t="s">
        <v>140</v>
      </c>
      <c r="C70" s="93"/>
      <c r="D70" s="114">
        <v>292.3</v>
      </c>
      <c r="E70" s="114">
        <v>292.3</v>
      </c>
      <c r="F70" s="188">
        <f t="shared" si="14"/>
        <v>146.136</v>
      </c>
      <c r="G70" s="109">
        <v>0</v>
      </c>
      <c r="H70" s="182">
        <v>0</v>
      </c>
      <c r="I70" s="187">
        <v>146.136</v>
      </c>
      <c r="J70" s="187">
        <v>0</v>
      </c>
      <c r="K70" s="187">
        <v>0</v>
      </c>
      <c r="L70" s="187">
        <v>0</v>
      </c>
      <c r="M70" s="109">
        <v>0</v>
      </c>
      <c r="N70" s="109">
        <v>194.84800000000001</v>
      </c>
      <c r="O70" s="109">
        <f t="shared" si="19"/>
        <v>-48.712000000000018</v>
      </c>
      <c r="P70" s="165">
        <f t="shared" si="20"/>
        <v>74.999999999999986</v>
      </c>
      <c r="Q70" s="109">
        <f t="shared" si="70"/>
        <v>194.84800000000001</v>
      </c>
      <c r="R70" s="109">
        <f t="shared" si="21"/>
        <v>-48.712000000000018</v>
      </c>
      <c r="S70" s="165">
        <f t="shared" si="22"/>
        <v>74.999999999999986</v>
      </c>
      <c r="T70" s="165">
        <f t="shared" si="23"/>
        <v>49.995210400273685</v>
      </c>
      <c r="U70" s="110">
        <v>146.136</v>
      </c>
      <c r="V70" s="111">
        <f t="shared" si="46"/>
        <v>0</v>
      </c>
      <c r="W70" s="112">
        <f t="shared" si="79"/>
        <v>100</v>
      </c>
    </row>
    <row r="71" spans="1:25" s="184" customFormat="1" ht="56.25" x14ac:dyDescent="0.25">
      <c r="A71" s="183" t="s">
        <v>216</v>
      </c>
      <c r="B71" s="206" t="s">
        <v>189</v>
      </c>
      <c r="C71" s="185"/>
      <c r="D71" s="191">
        <v>0</v>
      </c>
      <c r="E71" s="191">
        <v>0</v>
      </c>
      <c r="F71" s="188">
        <f t="shared" si="14"/>
        <v>0</v>
      </c>
      <c r="G71" s="187">
        <v>0</v>
      </c>
      <c r="H71" s="187">
        <v>0</v>
      </c>
      <c r="I71" s="187">
        <v>0</v>
      </c>
      <c r="J71" s="187">
        <v>0</v>
      </c>
      <c r="K71" s="187">
        <v>0</v>
      </c>
      <c r="L71" s="187">
        <v>0</v>
      </c>
      <c r="M71" s="187">
        <v>0</v>
      </c>
      <c r="N71" s="187">
        <v>0</v>
      </c>
      <c r="O71" s="187">
        <f t="shared" ref="O71" si="80">F71-N71</f>
        <v>0</v>
      </c>
      <c r="P71" s="165"/>
      <c r="Q71" s="187">
        <f t="shared" ref="Q71" si="81">N71</f>
        <v>0</v>
      </c>
      <c r="R71" s="187">
        <f t="shared" ref="R71" si="82">F71-Q71</f>
        <v>0</v>
      </c>
      <c r="S71" s="165"/>
      <c r="T71" s="165"/>
      <c r="U71" s="188">
        <v>2467.8990000000003</v>
      </c>
      <c r="V71" s="189">
        <f t="shared" si="46"/>
        <v>-2467.8990000000003</v>
      </c>
      <c r="W71" s="190"/>
    </row>
    <row r="72" spans="1:25" s="36" customFormat="1" ht="56.25" x14ac:dyDescent="0.25">
      <c r="A72" s="183" t="s">
        <v>217</v>
      </c>
      <c r="B72" s="206" t="s">
        <v>151</v>
      </c>
      <c r="C72" s="93"/>
      <c r="D72" s="114">
        <v>338.31700000000001</v>
      </c>
      <c r="E72" s="114">
        <v>338.31700000000001</v>
      </c>
      <c r="F72" s="188">
        <f>SUM(G72:M72)</f>
        <v>270.65199999999999</v>
      </c>
      <c r="G72" s="109">
        <v>0</v>
      </c>
      <c r="H72" s="182">
        <v>67.662999999999997</v>
      </c>
      <c r="I72" s="187">
        <v>67.662999999999997</v>
      </c>
      <c r="J72" s="187">
        <v>67.662999999999997</v>
      </c>
      <c r="K72" s="187">
        <v>67.662999999999997</v>
      </c>
      <c r="L72" s="187">
        <v>0</v>
      </c>
      <c r="M72" s="187">
        <v>0</v>
      </c>
      <c r="N72" s="109">
        <v>270.65199999999999</v>
      </c>
      <c r="O72" s="109">
        <f>F72-N72</f>
        <v>0</v>
      </c>
      <c r="P72" s="165">
        <f>F72/N72*100</f>
        <v>100</v>
      </c>
      <c r="Q72" s="109">
        <f>N72</f>
        <v>270.65199999999999</v>
      </c>
      <c r="R72" s="109">
        <f>F72-Q72</f>
        <v>0</v>
      </c>
      <c r="S72" s="165">
        <f>F72/Q72*100</f>
        <v>100</v>
      </c>
      <c r="T72" s="165">
        <f>F72/E72*100</f>
        <v>79.999527070764984</v>
      </c>
      <c r="U72" s="110">
        <v>0</v>
      </c>
      <c r="V72" s="111">
        <f>F72-U72</f>
        <v>270.65199999999999</v>
      </c>
      <c r="W72" s="112"/>
    </row>
    <row r="73" spans="1:25" s="36" customFormat="1" ht="56.25" x14ac:dyDescent="0.25">
      <c r="A73" s="183" t="s">
        <v>218</v>
      </c>
      <c r="B73" s="206" t="s">
        <v>184</v>
      </c>
      <c r="C73" s="93"/>
      <c r="D73" s="114">
        <v>0</v>
      </c>
      <c r="E73" s="114">
        <f>156.357+263.086+52.119</f>
        <v>471.56200000000001</v>
      </c>
      <c r="F73" s="188">
        <f t="shared" ref="F73:F74" si="83">SUM(G73:M73)</f>
        <v>471.56200000000001</v>
      </c>
      <c r="G73" s="182">
        <v>0</v>
      </c>
      <c r="H73" s="182">
        <v>0</v>
      </c>
      <c r="I73" s="187">
        <v>52.119</v>
      </c>
      <c r="J73" s="187">
        <f>52.119+52.119</f>
        <v>104.238</v>
      </c>
      <c r="K73" s="187">
        <v>0</v>
      </c>
      <c r="L73" s="187">
        <v>0</v>
      </c>
      <c r="M73" s="187">
        <f>263.086+52.119</f>
        <v>315.20500000000004</v>
      </c>
      <c r="N73" s="182">
        <v>471.56200000000001</v>
      </c>
      <c r="O73" s="187">
        <f t="shared" ref="O73:O74" si="84">F73-N73</f>
        <v>0</v>
      </c>
      <c r="P73" s="165">
        <f t="shared" ref="P73:P74" si="85">F73/N73*100</f>
        <v>100</v>
      </c>
      <c r="Q73" s="182">
        <f>N73</f>
        <v>471.56200000000001</v>
      </c>
      <c r="R73" s="187">
        <f t="shared" ref="R73:R74" si="86">F73-Q73</f>
        <v>0</v>
      </c>
      <c r="S73" s="165">
        <f t="shared" ref="S73:S74" si="87">F73/Q73*100</f>
        <v>100</v>
      </c>
      <c r="T73" s="165">
        <f t="shared" ref="T73:T74" si="88">F73/E73*100</f>
        <v>100</v>
      </c>
      <c r="U73" s="188">
        <v>866.63599999999997</v>
      </c>
      <c r="V73" s="189">
        <f t="shared" ref="V73:V74" si="89">F73-U73</f>
        <v>-395.07399999999996</v>
      </c>
      <c r="W73" s="112">
        <f t="shared" ref="W73" si="90">F73/U73*100</f>
        <v>54.41292538043654</v>
      </c>
    </row>
    <row r="74" spans="1:25" s="184" customFormat="1" ht="75" x14ac:dyDescent="0.25">
      <c r="A74" s="183" t="s">
        <v>219</v>
      </c>
      <c r="B74" s="206" t="s">
        <v>185</v>
      </c>
      <c r="C74" s="185"/>
      <c r="D74" s="191">
        <v>0</v>
      </c>
      <c r="E74" s="191">
        <v>170.48599999999999</v>
      </c>
      <c r="F74" s="188">
        <f t="shared" si="83"/>
        <v>85.242999999999995</v>
      </c>
      <c r="G74" s="187">
        <v>0</v>
      </c>
      <c r="H74" s="187">
        <v>0</v>
      </c>
      <c r="I74" s="187">
        <v>0</v>
      </c>
      <c r="J74" s="187">
        <v>0</v>
      </c>
      <c r="K74" s="187">
        <v>0</v>
      </c>
      <c r="L74" s="187">
        <v>85.242999999999995</v>
      </c>
      <c r="M74" s="187"/>
      <c r="N74" s="187">
        <v>170.48599999999999</v>
      </c>
      <c r="O74" s="187">
        <f t="shared" si="84"/>
        <v>-85.242999999999995</v>
      </c>
      <c r="P74" s="165">
        <f t="shared" si="85"/>
        <v>50</v>
      </c>
      <c r="Q74" s="187">
        <f t="shared" ref="Q74" si="91">N74</f>
        <v>170.48599999999999</v>
      </c>
      <c r="R74" s="187">
        <f t="shared" si="86"/>
        <v>-85.242999999999995</v>
      </c>
      <c r="S74" s="165">
        <f t="shared" si="87"/>
        <v>50</v>
      </c>
      <c r="T74" s="165">
        <f t="shared" si="88"/>
        <v>50</v>
      </c>
      <c r="U74" s="188">
        <v>0</v>
      </c>
      <c r="V74" s="189">
        <f t="shared" si="89"/>
        <v>85.242999999999995</v>
      </c>
      <c r="W74" s="190"/>
    </row>
    <row r="75" spans="1:25" s="43" customFormat="1" ht="27.75" customHeight="1" x14ac:dyDescent="0.3">
      <c r="A75" s="40"/>
      <c r="B75" s="44" t="s">
        <v>29</v>
      </c>
      <c r="C75" s="41"/>
      <c r="D75" s="42">
        <f>D79+D78+D77</f>
        <v>904503.46699999995</v>
      </c>
      <c r="E75" s="42">
        <f>E79+E78+E77</f>
        <v>1068672.9710000001</v>
      </c>
      <c r="F75" s="42">
        <f t="shared" si="14"/>
        <v>667730.57500000007</v>
      </c>
      <c r="G75" s="42">
        <f t="shared" ref="G75:M75" si="92">G79+G78+G77</f>
        <v>65509.462</v>
      </c>
      <c r="H75" s="42">
        <f t="shared" ref="H75:L75" si="93">H79+H78+H77</f>
        <v>66194.953000000009</v>
      </c>
      <c r="I75" s="42">
        <f t="shared" si="93"/>
        <v>70696.006999999998</v>
      </c>
      <c r="J75" s="42">
        <f t="shared" si="93"/>
        <v>81160.876000000004</v>
      </c>
      <c r="K75" s="42">
        <f t="shared" si="93"/>
        <v>79552.297999999995</v>
      </c>
      <c r="L75" s="42">
        <f t="shared" si="93"/>
        <v>173381.59400000001</v>
      </c>
      <c r="M75" s="42">
        <f t="shared" si="92"/>
        <v>131235.38500000001</v>
      </c>
      <c r="N75" s="42">
        <f>N79+N78+N77</f>
        <v>667912.0079999998</v>
      </c>
      <c r="O75" s="42">
        <f t="shared" si="19"/>
        <v>-181.43299999972805</v>
      </c>
      <c r="P75" s="167">
        <f t="shared" si="20"/>
        <v>99.972835793064561</v>
      </c>
      <c r="Q75" s="42">
        <f>Q79+Q78+Q77</f>
        <v>563322.24799999991</v>
      </c>
      <c r="R75" s="42">
        <f t="shared" si="21"/>
        <v>104408.32700000016</v>
      </c>
      <c r="S75" s="167">
        <f t="shared" si="22"/>
        <v>118.53438726602543</v>
      </c>
      <c r="T75" s="167">
        <f t="shared" si="23"/>
        <v>62.482217958144645</v>
      </c>
      <c r="U75" s="42">
        <f>U79+U78+U77</f>
        <v>574272.1540000001</v>
      </c>
      <c r="V75" s="79">
        <f t="shared" si="46"/>
        <v>93458.420999999973</v>
      </c>
      <c r="W75" s="80">
        <f>F75/U75*100</f>
        <v>116.27423867743376</v>
      </c>
    </row>
    <row r="76" spans="1:25" s="12" customFormat="1" ht="23.25" x14ac:dyDescent="0.25">
      <c r="A76" s="11"/>
      <c r="B76" s="153" t="s">
        <v>92</v>
      </c>
      <c r="C76" s="10"/>
      <c r="D76" s="115"/>
      <c r="E76" s="115"/>
      <c r="F76" s="116"/>
      <c r="G76" s="115"/>
      <c r="H76" s="115"/>
      <c r="I76" s="115"/>
      <c r="J76" s="115"/>
      <c r="K76" s="115"/>
      <c r="L76" s="115"/>
      <c r="M76" s="115"/>
      <c r="N76" s="115"/>
      <c r="O76" s="115"/>
      <c r="P76" s="168"/>
      <c r="Q76" s="115"/>
      <c r="R76" s="115"/>
      <c r="S76" s="168"/>
      <c r="T76" s="168"/>
      <c r="U76" s="116"/>
      <c r="V76" s="83"/>
      <c r="W76" s="84"/>
    </row>
    <row r="77" spans="1:25" s="12" customFormat="1" ht="33.75" customHeight="1" x14ac:dyDescent="0.25">
      <c r="A77" s="11"/>
      <c r="B77" s="142" t="s">
        <v>133</v>
      </c>
      <c r="C77" s="25"/>
      <c r="D77" s="49"/>
      <c r="E77" s="49"/>
      <c r="F77" s="42">
        <f t="shared" si="14"/>
        <v>0</v>
      </c>
      <c r="G77" s="49"/>
      <c r="H77" s="49"/>
      <c r="I77" s="49"/>
      <c r="J77" s="49"/>
      <c r="K77" s="49"/>
      <c r="L77" s="49"/>
      <c r="M77" s="49"/>
      <c r="N77" s="49"/>
      <c r="O77" s="49"/>
      <c r="P77" s="162"/>
      <c r="Q77" s="49"/>
      <c r="R77" s="49">
        <f t="shared" si="21"/>
        <v>0</v>
      </c>
      <c r="S77" s="162"/>
      <c r="T77" s="162"/>
      <c r="U77" s="42">
        <f>U55</f>
        <v>6414.1</v>
      </c>
      <c r="V77" s="83">
        <f>F77-U77</f>
        <v>-6414.1</v>
      </c>
      <c r="W77" s="84">
        <f t="shared" ref="W77:W78" si="94">F77/U77*100</f>
        <v>0</v>
      </c>
    </row>
    <row r="78" spans="1:25" s="12" customFormat="1" ht="37.5" customHeight="1" x14ac:dyDescent="0.25">
      <c r="A78" s="11"/>
      <c r="B78" s="142" t="s">
        <v>105</v>
      </c>
      <c r="C78" s="25"/>
      <c r="D78" s="49">
        <f>D58</f>
        <v>0</v>
      </c>
      <c r="E78" s="49">
        <f>E58</f>
        <v>4050.5970000000002</v>
      </c>
      <c r="F78" s="42">
        <f t="shared" si="14"/>
        <v>4050.5970000000002</v>
      </c>
      <c r="G78" s="49">
        <f t="shared" ref="G78:N78" si="95">G58</f>
        <v>0</v>
      </c>
      <c r="H78" s="49">
        <f t="shared" si="95"/>
        <v>561.92399999999998</v>
      </c>
      <c r="I78" s="49">
        <f t="shared" si="95"/>
        <v>0</v>
      </c>
      <c r="J78" s="49">
        <f t="shared" si="95"/>
        <v>1564.171</v>
      </c>
      <c r="K78" s="49">
        <f t="shared" si="95"/>
        <v>0</v>
      </c>
      <c r="L78" s="49">
        <f t="shared" ref="L78" si="96">L58</f>
        <v>730.01800000000003</v>
      </c>
      <c r="M78" s="49">
        <f t="shared" si="95"/>
        <v>1194.4839999999999</v>
      </c>
      <c r="N78" s="49">
        <f t="shared" si="95"/>
        <v>4050.5970000000002</v>
      </c>
      <c r="O78" s="49">
        <f t="shared" ref="O78" si="97">F78-N78</f>
        <v>0</v>
      </c>
      <c r="P78" s="162">
        <f t="shared" ref="P78" si="98">F78/N78*100</f>
        <v>100</v>
      </c>
      <c r="Q78" s="49">
        <f>Q58</f>
        <v>4050.5970000000002</v>
      </c>
      <c r="R78" s="49">
        <f t="shared" si="21"/>
        <v>0</v>
      </c>
      <c r="S78" s="162">
        <f t="shared" ref="S78" si="99">F78/Q78*100</f>
        <v>100</v>
      </c>
      <c r="T78" s="162">
        <f t="shared" ref="T78" si="100">F78/E78*100</f>
        <v>100</v>
      </c>
      <c r="U78" s="42">
        <f>U58</f>
        <v>3201.0839999999998</v>
      </c>
      <c r="V78" s="83">
        <f>F78-U78</f>
        <v>849.51300000000037</v>
      </c>
      <c r="W78" s="84">
        <f t="shared" si="94"/>
        <v>126.53829140378699</v>
      </c>
    </row>
    <row r="79" spans="1:25" s="12" customFormat="1" ht="27" customHeight="1" x14ac:dyDescent="0.25">
      <c r="A79" s="11"/>
      <c r="B79" s="142" t="s">
        <v>70</v>
      </c>
      <c r="C79" s="25"/>
      <c r="D79" s="49">
        <f>D80+D81</f>
        <v>904503.46699999995</v>
      </c>
      <c r="E79" s="49">
        <f>E80+E81</f>
        <v>1064622.3740000001</v>
      </c>
      <c r="F79" s="42">
        <f t="shared" si="14"/>
        <v>663679.97800000012</v>
      </c>
      <c r="G79" s="49">
        <f>G80+G81</f>
        <v>65509.462</v>
      </c>
      <c r="H79" s="49">
        <f t="shared" ref="H79:L79" si="101">H80+H81</f>
        <v>65633.02900000001</v>
      </c>
      <c r="I79" s="49">
        <f t="shared" si="101"/>
        <v>70696.006999999998</v>
      </c>
      <c r="J79" s="49">
        <f t="shared" si="101"/>
        <v>79596.705000000002</v>
      </c>
      <c r="K79" s="49">
        <f t="shared" si="101"/>
        <v>79552.297999999995</v>
      </c>
      <c r="L79" s="49">
        <f t="shared" si="101"/>
        <v>172651.576</v>
      </c>
      <c r="M79" s="49">
        <f t="shared" ref="M79:N79" si="102">M80+M81</f>
        <v>130040.90100000001</v>
      </c>
      <c r="N79" s="49">
        <f t="shared" si="102"/>
        <v>663861.41099999985</v>
      </c>
      <c r="O79" s="49">
        <f t="shared" si="19"/>
        <v>-181.43299999972805</v>
      </c>
      <c r="P79" s="162">
        <f t="shared" si="20"/>
        <v>99.972670048749109</v>
      </c>
      <c r="Q79" s="49">
        <f t="shared" ref="Q79" si="103">Q80+Q81</f>
        <v>559271.65099999995</v>
      </c>
      <c r="R79" s="49">
        <f t="shared" si="21"/>
        <v>104408.32700000016</v>
      </c>
      <c r="S79" s="162">
        <f t="shared" si="22"/>
        <v>118.66862495413703</v>
      </c>
      <c r="T79" s="162">
        <f t="shared" si="23"/>
        <v>62.339473057138676</v>
      </c>
      <c r="U79" s="42">
        <f>U80+U81</f>
        <v>564656.97000000009</v>
      </c>
      <c r="V79" s="83">
        <f>F79-U79</f>
        <v>99023.008000000031</v>
      </c>
      <c r="W79" s="84">
        <f>F79/U79*100</f>
        <v>117.53684329797611</v>
      </c>
    </row>
    <row r="80" spans="1:25" s="7" customFormat="1" ht="24" customHeight="1" x14ac:dyDescent="0.25">
      <c r="A80" s="13"/>
      <c r="B80" s="16" t="s">
        <v>96</v>
      </c>
      <c r="C80" s="16"/>
      <c r="D80" s="114">
        <f>D57+D56</f>
        <v>879086.1</v>
      </c>
      <c r="E80" s="114">
        <f>E57+E56</f>
        <v>879927.1</v>
      </c>
      <c r="F80" s="117">
        <f t="shared" si="14"/>
        <v>543441.4</v>
      </c>
      <c r="G80" s="191">
        <f t="shared" ref="G80:N80" si="104">G57+G56</f>
        <v>63808.4</v>
      </c>
      <c r="H80" s="191">
        <f t="shared" si="104"/>
        <v>63802.3</v>
      </c>
      <c r="I80" s="191">
        <f t="shared" si="104"/>
        <v>68537.3</v>
      </c>
      <c r="J80" s="191">
        <f t="shared" si="104"/>
        <v>77227.5</v>
      </c>
      <c r="K80" s="191">
        <f t="shared" si="104"/>
        <v>77274.399999999994</v>
      </c>
      <c r="L80" s="191">
        <f t="shared" ref="L80" si="105">L57+L56</f>
        <v>167943.5</v>
      </c>
      <c r="M80" s="191">
        <f>M57+M56</f>
        <v>24848</v>
      </c>
      <c r="N80" s="114">
        <f t="shared" si="104"/>
        <v>543441.39999999991</v>
      </c>
      <c r="O80" s="114">
        <f t="shared" si="19"/>
        <v>0</v>
      </c>
      <c r="P80" s="169">
        <f t="shared" si="20"/>
        <v>100.00000000000003</v>
      </c>
      <c r="Q80" s="114">
        <f>Q57</f>
        <v>543007.19999999995</v>
      </c>
      <c r="R80" s="114">
        <f t="shared" si="21"/>
        <v>434.20000000006985</v>
      </c>
      <c r="S80" s="169">
        <f t="shared" si="22"/>
        <v>100.07996210731645</v>
      </c>
      <c r="T80" s="169">
        <f t="shared" si="23"/>
        <v>61.759820785153686</v>
      </c>
      <c r="U80" s="117">
        <f>U57</f>
        <v>484291.40000000008</v>
      </c>
      <c r="V80" s="111">
        <f>F80-U80</f>
        <v>59149.999999999942</v>
      </c>
      <c r="W80" s="112">
        <f>F80/U80*100</f>
        <v>112.21372091265711</v>
      </c>
    </row>
    <row r="81" spans="1:28" s="7" customFormat="1" ht="24.75" customHeight="1" x14ac:dyDescent="0.25">
      <c r="A81" s="13"/>
      <c r="B81" s="16" t="s">
        <v>95</v>
      </c>
      <c r="C81" s="16"/>
      <c r="D81" s="114">
        <f>D62+D67</f>
        <v>25417.366999999998</v>
      </c>
      <c r="E81" s="114">
        <f>E62+E67+E65+E61+E60+E59+E63+E64+E66</f>
        <v>184695.274</v>
      </c>
      <c r="F81" s="117">
        <f t="shared" si="14"/>
        <v>120238.57800000001</v>
      </c>
      <c r="G81" s="191">
        <f>G62+G67+G65+G61+G60+G59+G63+G64+G66</f>
        <v>1701.0619999999999</v>
      </c>
      <c r="H81" s="191">
        <f t="shared" ref="H81:N81" si="106">H62+H67+H65+H61+H60+H59+H63+H64+H66</f>
        <v>1830.729</v>
      </c>
      <c r="I81" s="191">
        <f t="shared" si="106"/>
        <v>2158.7069999999999</v>
      </c>
      <c r="J81" s="191">
        <f t="shared" si="106"/>
        <v>2369.2049999999999</v>
      </c>
      <c r="K81" s="191">
        <f t="shared" si="106"/>
        <v>2277.8980000000001</v>
      </c>
      <c r="L81" s="191">
        <f t="shared" si="106"/>
        <v>4708.0760000000009</v>
      </c>
      <c r="M81" s="191">
        <f>M62+M67+M65+M61+M60+M59+M63+M64+M66</f>
        <v>105192.90100000001</v>
      </c>
      <c r="N81" s="114">
        <f t="shared" si="106"/>
        <v>120420.011</v>
      </c>
      <c r="O81" s="114">
        <f t="shared" si="19"/>
        <v>-181.43299999998999</v>
      </c>
      <c r="P81" s="169">
        <f t="shared" si="20"/>
        <v>99.84933318101092</v>
      </c>
      <c r="Q81" s="114">
        <f>Q62+Q67+Q65</f>
        <v>16264.451000000001</v>
      </c>
      <c r="R81" s="114">
        <f t="shared" si="21"/>
        <v>103974.12700000001</v>
      </c>
      <c r="S81" s="169">
        <f t="shared" si="22"/>
        <v>739.2722816158996</v>
      </c>
      <c r="T81" s="169">
        <f t="shared" si="23"/>
        <v>65.101058297788398</v>
      </c>
      <c r="U81" s="117">
        <f>U62+U67+U63+U64+U59+U60+U61+U66</f>
        <v>80365.569999999992</v>
      </c>
      <c r="V81" s="111">
        <f>F81-U81</f>
        <v>39873.008000000016</v>
      </c>
      <c r="W81" s="112">
        <f>F81/U81*100</f>
        <v>149.61454015693539</v>
      </c>
    </row>
    <row r="82" spans="1:28" s="7" customFormat="1" ht="23.25" hidden="1" x14ac:dyDescent="0.25">
      <c r="A82" s="13"/>
      <c r="B82" s="38"/>
      <c r="C82" s="16"/>
      <c r="D82" s="114"/>
      <c r="E82" s="114"/>
      <c r="F82" s="117"/>
      <c r="G82" s="114"/>
      <c r="H82" s="114"/>
      <c r="I82" s="191"/>
      <c r="J82" s="191"/>
      <c r="K82" s="191"/>
      <c r="L82" s="191"/>
      <c r="M82" s="114"/>
      <c r="N82" s="114"/>
      <c r="O82" s="114"/>
      <c r="P82" s="169"/>
      <c r="Q82" s="114"/>
      <c r="R82" s="114"/>
      <c r="S82" s="169"/>
      <c r="T82" s="169"/>
      <c r="U82" s="117"/>
      <c r="V82" s="111"/>
      <c r="W82" s="112"/>
    </row>
    <row r="83" spans="1:28" s="139" customFormat="1" ht="39.75" customHeight="1" x14ac:dyDescent="0.3">
      <c r="A83" s="132"/>
      <c r="B83" s="133" t="s">
        <v>28</v>
      </c>
      <c r="C83" s="134"/>
      <c r="D83" s="135">
        <f>D75+D53</f>
        <v>6124253.8440000005</v>
      </c>
      <c r="E83" s="135">
        <f>E75+E53</f>
        <v>6423789.5259999996</v>
      </c>
      <c r="F83" s="135">
        <f t="shared" si="14"/>
        <v>3857046.8020000001</v>
      </c>
      <c r="G83" s="135">
        <f t="shared" ref="G83:N83" si="107">G75+G53</f>
        <v>492255.30200000014</v>
      </c>
      <c r="H83" s="135">
        <f t="shared" si="107"/>
        <v>511684.4659999999</v>
      </c>
      <c r="I83" s="135">
        <f t="shared" si="107"/>
        <v>448401.6810000001</v>
      </c>
      <c r="J83" s="135">
        <f t="shared" si="107"/>
        <v>562337.29599999986</v>
      </c>
      <c r="K83" s="135">
        <f t="shared" si="107"/>
        <v>574545.47200000007</v>
      </c>
      <c r="L83" s="135">
        <f t="shared" ref="L83" si="108">L75+L53</f>
        <v>606257.54500000004</v>
      </c>
      <c r="M83" s="135">
        <f t="shared" si="107"/>
        <v>661565.04000000015</v>
      </c>
      <c r="N83" s="135">
        <f t="shared" si="107"/>
        <v>3756981.8689999999</v>
      </c>
      <c r="O83" s="135">
        <f t="shared" si="19"/>
        <v>100064.93300000019</v>
      </c>
      <c r="P83" s="170">
        <f t="shared" si="20"/>
        <v>102.66343933745506</v>
      </c>
      <c r="Q83" s="135">
        <f>Q75+Q53</f>
        <v>3687140.2384166671</v>
      </c>
      <c r="R83" s="135">
        <f t="shared" si="21"/>
        <v>169906.56358333305</v>
      </c>
      <c r="S83" s="170">
        <f t="shared" si="22"/>
        <v>104.60808519874185</v>
      </c>
      <c r="T83" s="170">
        <f t="shared" si="23"/>
        <v>60.043169010889542</v>
      </c>
      <c r="U83" s="135">
        <f>U75+U53</f>
        <v>3645097.7590000001</v>
      </c>
      <c r="V83" s="136">
        <f>F83-U83</f>
        <v>211949.04300000006</v>
      </c>
      <c r="W83" s="137">
        <f>F83/U83*100</f>
        <v>105.81463261106462</v>
      </c>
      <c r="X83" s="135">
        <v>3645097.7590000005</v>
      </c>
      <c r="Y83" s="138">
        <f>X83-U83</f>
        <v>0</v>
      </c>
      <c r="AB83" s="138"/>
    </row>
    <row r="84" spans="1:28" s="139" customFormat="1" ht="69.75" hidden="1" x14ac:dyDescent="0.3">
      <c r="A84" s="132"/>
      <c r="B84" s="133" t="s">
        <v>199</v>
      </c>
      <c r="C84" s="134"/>
      <c r="D84" s="135">
        <f>D83</f>
        <v>6124253.8440000005</v>
      </c>
      <c r="E84" s="135">
        <f>E83</f>
        <v>6423789.5259999996</v>
      </c>
      <c r="F84" s="135">
        <f t="shared" si="14"/>
        <v>3857046.8020000001</v>
      </c>
      <c r="G84" s="135">
        <f t="shared" ref="G84:N84" si="109">G83</f>
        <v>492255.30200000014</v>
      </c>
      <c r="H84" s="135">
        <f t="shared" si="109"/>
        <v>511684.4659999999</v>
      </c>
      <c r="I84" s="135">
        <f t="shared" si="109"/>
        <v>448401.6810000001</v>
      </c>
      <c r="J84" s="135">
        <f t="shared" si="109"/>
        <v>562337.29599999986</v>
      </c>
      <c r="K84" s="135">
        <f t="shared" ref="K84:L84" si="110">K83</f>
        <v>574545.47200000007</v>
      </c>
      <c r="L84" s="135">
        <f t="shared" si="110"/>
        <v>606257.54500000004</v>
      </c>
      <c r="M84" s="135">
        <f t="shared" si="109"/>
        <v>661565.04000000015</v>
      </c>
      <c r="N84" s="135">
        <f t="shared" si="109"/>
        <v>3756981.8689999999</v>
      </c>
      <c r="O84" s="135">
        <f t="shared" si="19"/>
        <v>100064.93300000019</v>
      </c>
      <c r="P84" s="170">
        <f t="shared" si="20"/>
        <v>102.66343933745506</v>
      </c>
      <c r="Q84" s="135">
        <f>Q83</f>
        <v>3687140.2384166671</v>
      </c>
      <c r="R84" s="135">
        <f t="shared" si="21"/>
        <v>169906.56358333305</v>
      </c>
      <c r="S84" s="170">
        <f t="shared" si="22"/>
        <v>104.60808519874185</v>
      </c>
      <c r="T84" s="170">
        <f t="shared" si="23"/>
        <v>60.043169010889542</v>
      </c>
      <c r="U84" s="135">
        <f>U75+U54</f>
        <v>3134259.1359999999</v>
      </c>
      <c r="V84" s="136">
        <f>F84-U84</f>
        <v>722787.6660000002</v>
      </c>
      <c r="W84" s="137">
        <f>F84/U84*100</f>
        <v>123.0608776950854</v>
      </c>
      <c r="X84" s="135"/>
      <c r="Y84" s="138"/>
      <c r="AB84" s="138"/>
    </row>
    <row r="85" spans="1:28" s="9" customFormat="1" ht="20.25" customHeight="1" x14ac:dyDescent="0.25">
      <c r="A85" s="224" t="s">
        <v>9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6"/>
    </row>
    <row r="86" spans="1:28" s="54" customFormat="1" ht="39.75" customHeight="1" x14ac:dyDescent="0.3">
      <c r="A86" s="23">
        <v>1</v>
      </c>
      <c r="B86" s="53" t="s">
        <v>12</v>
      </c>
      <c r="C86" s="24" t="s">
        <v>21</v>
      </c>
      <c r="D86" s="113">
        <f>D87+D88</f>
        <v>88942.407999999996</v>
      </c>
      <c r="E86" s="113">
        <f>E87+E88</f>
        <v>88942.407999999996</v>
      </c>
      <c r="F86" s="106">
        <f t="shared" ref="F86:F122" si="111">SUM(G86:M86)</f>
        <v>119684.53399999999</v>
      </c>
      <c r="G86" s="105">
        <f t="shared" ref="G86:M86" si="112">G87+G88</f>
        <v>9018.42</v>
      </c>
      <c r="H86" s="105">
        <f t="shared" ref="H86:L86" si="113">H87+H88</f>
        <v>22969.59</v>
      </c>
      <c r="I86" s="186">
        <f t="shared" si="113"/>
        <v>14417.822</v>
      </c>
      <c r="J86" s="186">
        <f t="shared" si="113"/>
        <v>20530.981</v>
      </c>
      <c r="K86" s="186">
        <f t="shared" si="113"/>
        <v>11056.424000000001</v>
      </c>
      <c r="L86" s="186">
        <f t="shared" si="113"/>
        <v>17807.737000000001</v>
      </c>
      <c r="M86" s="105">
        <f t="shared" si="112"/>
        <v>23883.559999999998</v>
      </c>
      <c r="N86" s="105">
        <f>N87+N88</f>
        <v>51883.071000000004</v>
      </c>
      <c r="O86" s="105">
        <f t="shared" ref="O86:O106" si="114">F86-N86</f>
        <v>67801.462999999989</v>
      </c>
      <c r="P86" s="164">
        <f t="shared" ref="P86:P106" si="115">F86/N86*100</f>
        <v>230.68128330337262</v>
      </c>
      <c r="Q86" s="105">
        <f>Q87</f>
        <v>51883.071333333326</v>
      </c>
      <c r="R86" s="105">
        <f t="shared" ref="R86:R106" si="116">F86-Q86</f>
        <v>67801.462666666659</v>
      </c>
      <c r="S86" s="164">
        <f t="shared" ref="S86:S106" si="117">F86/Q86*100</f>
        <v>230.68128182131395</v>
      </c>
      <c r="T86" s="164">
        <f t="shared" ref="T86:T106" si="118">F86/E86*100</f>
        <v>134.5640810624331</v>
      </c>
      <c r="U86" s="106">
        <f t="shared" ref="U86" si="119">U87+U88</f>
        <v>99826.754999999976</v>
      </c>
      <c r="V86" s="107">
        <f t="shared" ref="V86:V105" si="120">F86-U86</f>
        <v>19857.77900000001</v>
      </c>
      <c r="W86" s="108">
        <f t="shared" ref="W86:W94" si="121">F86/U86*100</f>
        <v>119.89224131346351</v>
      </c>
    </row>
    <row r="87" spans="1:28" s="57" customFormat="1" ht="39" x14ac:dyDescent="0.3">
      <c r="A87" s="35" t="s">
        <v>110</v>
      </c>
      <c r="B87" s="92" t="s">
        <v>106</v>
      </c>
      <c r="C87" s="16" t="s">
        <v>107</v>
      </c>
      <c r="D87" s="114">
        <v>88942.407999999996</v>
      </c>
      <c r="E87" s="114">
        <v>88942.407999999996</v>
      </c>
      <c r="F87" s="188">
        <f t="shared" si="111"/>
        <v>60171.368000000002</v>
      </c>
      <c r="G87" s="109">
        <v>6842.0010000000002</v>
      </c>
      <c r="H87" s="182">
        <v>8199.6650000000009</v>
      </c>
      <c r="I87" s="187">
        <v>8145.8459999999995</v>
      </c>
      <c r="J87" s="187">
        <v>15996.834999999999</v>
      </c>
      <c r="K87" s="187">
        <v>8775.9030000000002</v>
      </c>
      <c r="L87" s="187">
        <v>6940.0150000000003</v>
      </c>
      <c r="M87" s="109">
        <v>5271.1030000000001</v>
      </c>
      <c r="N87" s="109">
        <v>51883.071000000004</v>
      </c>
      <c r="O87" s="109">
        <f t="shared" si="114"/>
        <v>8288.2969999999987</v>
      </c>
      <c r="P87" s="165">
        <f t="shared" si="115"/>
        <v>115.97495452803864</v>
      </c>
      <c r="Q87" s="109">
        <f>E87/12*7</f>
        <v>51883.071333333326</v>
      </c>
      <c r="R87" s="109">
        <f t="shared" si="116"/>
        <v>8288.2966666666762</v>
      </c>
      <c r="S87" s="165">
        <f t="shared" si="117"/>
        <v>115.97495378293399</v>
      </c>
      <c r="T87" s="165">
        <f t="shared" si="118"/>
        <v>67.652056373378159</v>
      </c>
      <c r="U87" s="110">
        <v>54062.150999999991</v>
      </c>
      <c r="V87" s="111">
        <f t="shared" si="120"/>
        <v>6109.2170000000115</v>
      </c>
      <c r="W87" s="112">
        <f t="shared" si="121"/>
        <v>111.30035872971465</v>
      </c>
    </row>
    <row r="88" spans="1:28" s="57" customFormat="1" ht="36" customHeight="1" x14ac:dyDescent="0.3">
      <c r="A88" s="35" t="s">
        <v>111</v>
      </c>
      <c r="B88" s="92" t="s">
        <v>108</v>
      </c>
      <c r="C88" s="16" t="s">
        <v>109</v>
      </c>
      <c r="D88" s="114">
        <v>0</v>
      </c>
      <c r="E88" s="114">
        <v>0</v>
      </c>
      <c r="F88" s="188">
        <f t="shared" si="111"/>
        <v>59513.165999999997</v>
      </c>
      <c r="G88" s="109">
        <v>2176.4189999999999</v>
      </c>
      <c r="H88" s="182">
        <v>14769.924999999999</v>
      </c>
      <c r="I88" s="187">
        <v>6271.9759999999997</v>
      </c>
      <c r="J88" s="187">
        <v>4534.1459999999997</v>
      </c>
      <c r="K88" s="187">
        <v>2280.5210000000002</v>
      </c>
      <c r="L88" s="187">
        <v>10867.722</v>
      </c>
      <c r="M88" s="109">
        <v>18612.456999999999</v>
      </c>
      <c r="N88" s="109">
        <v>0</v>
      </c>
      <c r="O88" s="109">
        <f t="shared" si="114"/>
        <v>59513.165999999997</v>
      </c>
      <c r="P88" s="165"/>
      <c r="Q88" s="109"/>
      <c r="R88" s="109">
        <f t="shared" si="116"/>
        <v>59513.165999999997</v>
      </c>
      <c r="S88" s="165"/>
      <c r="T88" s="165"/>
      <c r="U88" s="110">
        <v>45764.603999999992</v>
      </c>
      <c r="V88" s="111">
        <f t="shared" si="120"/>
        <v>13748.562000000005</v>
      </c>
      <c r="W88" s="112">
        <f t="shared" si="121"/>
        <v>130.04191186708402</v>
      </c>
    </row>
    <row r="89" spans="1:28" s="54" customFormat="1" ht="39" x14ac:dyDescent="0.3">
      <c r="A89" s="181">
        <v>2</v>
      </c>
      <c r="B89" s="104" t="s">
        <v>176</v>
      </c>
      <c r="C89" s="24" t="s">
        <v>177</v>
      </c>
      <c r="D89" s="113">
        <v>0</v>
      </c>
      <c r="E89" s="113">
        <v>0</v>
      </c>
      <c r="F89" s="106">
        <f t="shared" si="111"/>
        <v>0.62</v>
      </c>
      <c r="G89" s="105">
        <v>0</v>
      </c>
      <c r="H89" s="105">
        <v>1.2999999999999999E-2</v>
      </c>
      <c r="I89" s="186">
        <v>0.60699999999999998</v>
      </c>
      <c r="J89" s="186">
        <v>0</v>
      </c>
      <c r="K89" s="186">
        <v>0</v>
      </c>
      <c r="L89" s="186">
        <v>0</v>
      </c>
      <c r="M89" s="105">
        <v>0</v>
      </c>
      <c r="N89" s="105"/>
      <c r="O89" s="105">
        <f t="shared" si="114"/>
        <v>0.62</v>
      </c>
      <c r="P89" s="164"/>
      <c r="Q89" s="105"/>
      <c r="R89" s="105">
        <f t="shared" si="116"/>
        <v>0.62</v>
      </c>
      <c r="S89" s="164"/>
      <c r="T89" s="164"/>
      <c r="U89" s="106">
        <v>0</v>
      </c>
      <c r="V89" s="107">
        <f t="shared" si="120"/>
        <v>0.62</v>
      </c>
      <c r="W89" s="108"/>
    </row>
    <row r="90" spans="1:28" s="54" customFormat="1" ht="33" customHeight="1" x14ac:dyDescent="0.3">
      <c r="A90" s="23">
        <f>A89+1</f>
        <v>3</v>
      </c>
      <c r="B90" s="104" t="s">
        <v>32</v>
      </c>
      <c r="C90" s="24" t="s">
        <v>31</v>
      </c>
      <c r="D90" s="113">
        <v>3460</v>
      </c>
      <c r="E90" s="113">
        <v>3363.7179999999998</v>
      </c>
      <c r="F90" s="106">
        <f t="shared" si="111"/>
        <v>2033.1189999999999</v>
      </c>
      <c r="G90" s="105">
        <v>20.629000000000001</v>
      </c>
      <c r="H90" s="105">
        <v>894.51700000000005</v>
      </c>
      <c r="I90" s="186">
        <v>27.177</v>
      </c>
      <c r="J90" s="186">
        <v>154.21100000000001</v>
      </c>
      <c r="K90" s="186">
        <v>913.49699999999996</v>
      </c>
      <c r="L90" s="186">
        <v>0.84599999999999997</v>
      </c>
      <c r="M90" s="105">
        <v>22.242000000000001</v>
      </c>
      <c r="N90" s="105">
        <v>2027.365</v>
      </c>
      <c r="O90" s="105">
        <f t="shared" si="114"/>
        <v>5.7539999999999054</v>
      </c>
      <c r="P90" s="164">
        <f t="shared" si="115"/>
        <v>100.28381667829917</v>
      </c>
      <c r="Q90" s="105">
        <f t="shared" ref="Q90:Q91" si="122">E90/12*7</f>
        <v>1962.1688333333332</v>
      </c>
      <c r="R90" s="105">
        <f t="shared" si="116"/>
        <v>70.950166666666746</v>
      </c>
      <c r="S90" s="164">
        <f t="shared" si="117"/>
        <v>103.61590529119435</v>
      </c>
      <c r="T90" s="164">
        <f t="shared" si="118"/>
        <v>60.442611419863383</v>
      </c>
      <c r="U90" s="106">
        <v>1458.021</v>
      </c>
      <c r="V90" s="107">
        <f t="shared" si="120"/>
        <v>575.09799999999996</v>
      </c>
      <c r="W90" s="108">
        <f t="shared" si="121"/>
        <v>139.4437391505335</v>
      </c>
    </row>
    <row r="91" spans="1:28" s="54" customFormat="1" ht="39" x14ac:dyDescent="0.3">
      <c r="A91" s="23">
        <f>A90+1</f>
        <v>4</v>
      </c>
      <c r="B91" s="53" t="s">
        <v>26</v>
      </c>
      <c r="C91" s="24" t="s">
        <v>25</v>
      </c>
      <c r="D91" s="113">
        <v>50</v>
      </c>
      <c r="E91" s="113">
        <v>310</v>
      </c>
      <c r="F91" s="106">
        <f t="shared" si="111"/>
        <v>316.57300000000009</v>
      </c>
      <c r="G91" s="105">
        <v>0</v>
      </c>
      <c r="H91" s="105">
        <v>286.39800000000002</v>
      </c>
      <c r="I91" s="186">
        <v>2.5</v>
      </c>
      <c r="J91" s="186">
        <v>11.493</v>
      </c>
      <c r="K91" s="186">
        <v>2.4750000000000001</v>
      </c>
      <c r="L91" s="186">
        <v>11.231999999999999</v>
      </c>
      <c r="M91" s="105">
        <v>2.4750000000000001</v>
      </c>
      <c r="N91" s="105">
        <v>310</v>
      </c>
      <c r="O91" s="105">
        <f t="shared" si="114"/>
        <v>6.5730000000000928</v>
      </c>
      <c r="P91" s="164">
        <f t="shared" si="115"/>
        <v>102.12032258064518</v>
      </c>
      <c r="Q91" s="105">
        <f t="shared" si="122"/>
        <v>180.83333333333331</v>
      </c>
      <c r="R91" s="105">
        <f t="shared" si="116"/>
        <v>135.73966666666678</v>
      </c>
      <c r="S91" s="164">
        <f t="shared" si="117"/>
        <v>175.06341013824891</v>
      </c>
      <c r="T91" s="164">
        <f>F91/E91*100</f>
        <v>102.12032258064518</v>
      </c>
      <c r="U91" s="106">
        <v>43.216000000000001</v>
      </c>
      <c r="V91" s="107">
        <f t="shared" si="120"/>
        <v>273.35700000000008</v>
      </c>
      <c r="W91" s="108">
        <f t="shared" si="121"/>
        <v>732.53656053313603</v>
      </c>
    </row>
    <row r="92" spans="1:28" s="30" customFormat="1" ht="37.5" customHeight="1" x14ac:dyDescent="0.3">
      <c r="A92" s="11">
        <f t="shared" ref="A92" si="123">A91+1</f>
        <v>5</v>
      </c>
      <c r="B92" s="15" t="s">
        <v>10</v>
      </c>
      <c r="C92" s="8"/>
      <c r="D92" s="49">
        <f>SUM(D93:D95)</f>
        <v>110700</v>
      </c>
      <c r="E92" s="49">
        <f>SUM(E93:E95)</f>
        <v>110700</v>
      </c>
      <c r="F92" s="42">
        <f t="shared" si="111"/>
        <v>71061.813999999998</v>
      </c>
      <c r="G92" s="49">
        <f t="shared" ref="G92:N92" si="124">SUM(G93:G95)</f>
        <v>30538.786</v>
      </c>
      <c r="H92" s="49">
        <f t="shared" si="124"/>
        <v>5031.7710000000006</v>
      </c>
      <c r="I92" s="49">
        <f t="shared" si="124"/>
        <v>7656.5209999999997</v>
      </c>
      <c r="J92" s="49">
        <f t="shared" si="124"/>
        <v>2151.5749999999998</v>
      </c>
      <c r="K92" s="49">
        <f t="shared" ref="K92:L92" si="125">SUM(K93:K95)</f>
        <v>9255.86</v>
      </c>
      <c r="L92" s="49">
        <f t="shared" si="125"/>
        <v>13132.207</v>
      </c>
      <c r="M92" s="49">
        <f t="shared" si="124"/>
        <v>3295.0940000000001</v>
      </c>
      <c r="N92" s="49">
        <f t="shared" si="124"/>
        <v>70267.115000000005</v>
      </c>
      <c r="O92" s="49">
        <f t="shared" si="114"/>
        <v>794.69899999999325</v>
      </c>
      <c r="P92" s="162">
        <f t="shared" si="115"/>
        <v>101.13096859035696</v>
      </c>
      <c r="Q92" s="49">
        <f>SUM(Q93:Q95)</f>
        <v>64574.999999999993</v>
      </c>
      <c r="R92" s="49">
        <f t="shared" si="116"/>
        <v>6486.8140000000058</v>
      </c>
      <c r="S92" s="162">
        <f t="shared" si="117"/>
        <v>110.04539527680993</v>
      </c>
      <c r="T92" s="162">
        <f t="shared" si="118"/>
        <v>64.193147244805786</v>
      </c>
      <c r="U92" s="42">
        <f>SUM(U93:U95)</f>
        <v>48498.313000000002</v>
      </c>
      <c r="V92" s="83">
        <f t="shared" si="120"/>
        <v>22563.500999999997</v>
      </c>
      <c r="W92" s="84">
        <f t="shared" si="121"/>
        <v>146.52430075248185</v>
      </c>
      <c r="X92" s="55"/>
    </row>
    <row r="93" spans="1:28" s="57" customFormat="1" ht="23.25" x14ac:dyDescent="0.3">
      <c r="A93" s="13" t="s">
        <v>161</v>
      </c>
      <c r="B93" s="92" t="s">
        <v>126</v>
      </c>
      <c r="C93" s="16" t="s">
        <v>45</v>
      </c>
      <c r="D93" s="114">
        <v>0</v>
      </c>
      <c r="E93" s="114">
        <v>743.3</v>
      </c>
      <c r="F93" s="188">
        <f t="shared" si="111"/>
        <v>867.70699999999999</v>
      </c>
      <c r="G93" s="109">
        <v>48</v>
      </c>
      <c r="H93" s="182">
        <v>0</v>
      </c>
      <c r="I93" s="187">
        <v>274.428</v>
      </c>
      <c r="J93" s="187">
        <v>389.16300000000001</v>
      </c>
      <c r="K93" s="187">
        <v>32.283999999999999</v>
      </c>
      <c r="L93" s="187">
        <v>123.83199999999999</v>
      </c>
      <c r="M93" s="109"/>
      <c r="N93" s="109">
        <v>743.3</v>
      </c>
      <c r="O93" s="109">
        <f t="shared" si="114"/>
        <v>124.40700000000004</v>
      </c>
      <c r="P93" s="169">
        <f t="shared" si="115"/>
        <v>116.73711825642405</v>
      </c>
      <c r="Q93" s="109">
        <f t="shared" ref="Q93:Q96" si="126">E93/12*7</f>
        <v>433.59166666666664</v>
      </c>
      <c r="R93" s="109">
        <f t="shared" si="116"/>
        <v>434.11533333333335</v>
      </c>
      <c r="S93" s="165">
        <f t="shared" ref="S93" si="127">F93/Q93*100</f>
        <v>200.12077415386983</v>
      </c>
      <c r="T93" s="165">
        <f t="shared" ref="T93" si="128">F93/E93*100</f>
        <v>116.73711825642405</v>
      </c>
      <c r="U93" s="110">
        <v>1986.1869999999999</v>
      </c>
      <c r="V93" s="111">
        <f t="shared" si="120"/>
        <v>-1118.48</v>
      </c>
      <c r="W93" s="112">
        <f t="shared" si="121"/>
        <v>43.687074781981764</v>
      </c>
    </row>
    <row r="94" spans="1:28" s="57" customFormat="1" ht="23.25" x14ac:dyDescent="0.3">
      <c r="A94" s="13" t="s">
        <v>162</v>
      </c>
      <c r="B94" s="92" t="s">
        <v>37</v>
      </c>
      <c r="C94" s="16" t="s">
        <v>22</v>
      </c>
      <c r="D94" s="114">
        <v>14000</v>
      </c>
      <c r="E94" s="114">
        <v>13256.7</v>
      </c>
      <c r="F94" s="188">
        <f t="shared" si="111"/>
        <v>724.7410000000001</v>
      </c>
      <c r="G94" s="109">
        <v>0</v>
      </c>
      <c r="H94" s="182">
        <v>9.6310000000000002</v>
      </c>
      <c r="I94" s="187">
        <v>0</v>
      </c>
      <c r="J94" s="187">
        <v>1.42</v>
      </c>
      <c r="K94" s="187">
        <v>535.19000000000005</v>
      </c>
      <c r="L94" s="187">
        <v>178.5</v>
      </c>
      <c r="M94" s="109"/>
      <c r="N94" s="109">
        <v>724.7</v>
      </c>
      <c r="O94" s="109">
        <f t="shared" si="114"/>
        <v>4.100000000005366E-2</v>
      </c>
      <c r="P94" s="169">
        <f t="shared" si="115"/>
        <v>100.00565751345385</v>
      </c>
      <c r="Q94" s="109">
        <f t="shared" si="126"/>
        <v>7733.0750000000007</v>
      </c>
      <c r="R94" s="109">
        <f t="shared" si="116"/>
        <v>-7008.3340000000007</v>
      </c>
      <c r="S94" s="165">
        <f t="shared" si="117"/>
        <v>9.3719639341400409</v>
      </c>
      <c r="T94" s="165">
        <f t="shared" si="118"/>
        <v>5.4669789615816917</v>
      </c>
      <c r="U94" s="110">
        <v>3806.527</v>
      </c>
      <c r="V94" s="111">
        <f t="shared" si="120"/>
        <v>-3081.7860000000001</v>
      </c>
      <c r="W94" s="190">
        <f t="shared" si="121"/>
        <v>19.039428854701416</v>
      </c>
    </row>
    <row r="95" spans="1:28" s="56" customFormat="1" ht="32.25" customHeight="1" x14ac:dyDescent="0.3">
      <c r="A95" s="13" t="s">
        <v>163</v>
      </c>
      <c r="B95" s="38" t="s">
        <v>65</v>
      </c>
      <c r="C95" s="16" t="s">
        <v>43</v>
      </c>
      <c r="D95" s="114">
        <v>96700</v>
      </c>
      <c r="E95" s="114">
        <v>96700</v>
      </c>
      <c r="F95" s="117">
        <f t="shared" si="111"/>
        <v>69469.365999999995</v>
      </c>
      <c r="G95" s="114">
        <v>30490.786</v>
      </c>
      <c r="H95" s="114">
        <v>5022.1400000000003</v>
      </c>
      <c r="I95" s="191">
        <v>7382.0929999999998</v>
      </c>
      <c r="J95" s="191">
        <v>1760.992</v>
      </c>
      <c r="K95" s="191">
        <v>8688.3860000000004</v>
      </c>
      <c r="L95" s="191">
        <v>12829.875</v>
      </c>
      <c r="M95" s="114">
        <v>3295.0940000000001</v>
      </c>
      <c r="N95" s="114">
        <v>68799.115000000005</v>
      </c>
      <c r="O95" s="114">
        <f t="shared" si="114"/>
        <v>670.25099999998929</v>
      </c>
      <c r="P95" s="169">
        <f t="shared" si="115"/>
        <v>100.97421456656816</v>
      </c>
      <c r="Q95" s="114">
        <f t="shared" si="126"/>
        <v>56408.333333333328</v>
      </c>
      <c r="R95" s="114">
        <f t="shared" si="116"/>
        <v>13061.032666666666</v>
      </c>
      <c r="S95" s="169">
        <f t="shared" si="117"/>
        <v>123.15443817402867</v>
      </c>
      <c r="T95" s="169">
        <f t="shared" si="118"/>
        <v>71.840088934850044</v>
      </c>
      <c r="U95" s="117">
        <v>42705.599000000002</v>
      </c>
      <c r="V95" s="111">
        <f t="shared" si="120"/>
        <v>26763.766999999993</v>
      </c>
      <c r="W95" s="112">
        <f>F95/U95*100</f>
        <v>162.67039364089001</v>
      </c>
    </row>
    <row r="96" spans="1:28" s="54" customFormat="1" ht="23.25" x14ac:dyDescent="0.3">
      <c r="A96" s="23">
        <v>6</v>
      </c>
      <c r="B96" s="104" t="s">
        <v>11</v>
      </c>
      <c r="C96" s="24" t="s">
        <v>23</v>
      </c>
      <c r="D96" s="113">
        <v>10220.1</v>
      </c>
      <c r="E96" s="113">
        <v>10220.1</v>
      </c>
      <c r="F96" s="106">
        <f t="shared" si="111"/>
        <v>7981.7469999999994</v>
      </c>
      <c r="G96" s="105">
        <v>885.63199999999995</v>
      </c>
      <c r="H96" s="105">
        <v>822.52</v>
      </c>
      <c r="I96" s="186">
        <v>2986.248</v>
      </c>
      <c r="J96" s="186">
        <v>540.67999999999995</v>
      </c>
      <c r="K96" s="186">
        <v>978.33299999999997</v>
      </c>
      <c r="L96" s="186">
        <v>832.75300000000004</v>
      </c>
      <c r="M96" s="105">
        <v>935.58100000000002</v>
      </c>
      <c r="N96" s="105">
        <v>7820.05</v>
      </c>
      <c r="O96" s="105">
        <f t="shared" si="114"/>
        <v>161.69699999999921</v>
      </c>
      <c r="P96" s="164">
        <f t="shared" si="115"/>
        <v>102.06772335215246</v>
      </c>
      <c r="Q96" s="105">
        <f t="shared" si="126"/>
        <v>5961.7250000000004</v>
      </c>
      <c r="R96" s="105">
        <f t="shared" si="116"/>
        <v>2020.021999999999</v>
      </c>
      <c r="S96" s="164">
        <f t="shared" si="117"/>
        <v>133.88317978437448</v>
      </c>
      <c r="T96" s="164">
        <f t="shared" si="118"/>
        <v>78.098521540885116</v>
      </c>
      <c r="U96" s="106">
        <v>7551.4380000000001</v>
      </c>
      <c r="V96" s="107">
        <f t="shared" si="120"/>
        <v>430.30899999999929</v>
      </c>
      <c r="W96" s="108">
        <f>F96/U96*100</f>
        <v>105.69837162140507</v>
      </c>
    </row>
    <row r="97" spans="1:25" s="47" customFormat="1" ht="39" customHeight="1" x14ac:dyDescent="0.3">
      <c r="A97" s="45"/>
      <c r="B97" s="77" t="s">
        <v>147</v>
      </c>
      <c r="C97" s="46"/>
      <c r="D97" s="42">
        <f>D86+D90+D91+D93+D94+D95+D96+D89</f>
        <v>213372.508</v>
      </c>
      <c r="E97" s="42">
        <f>E86+E90+E91+E93+E94+E95+E96+E89</f>
        <v>213536.226</v>
      </c>
      <c r="F97" s="42">
        <f t="shared" si="111"/>
        <v>201078.40699999998</v>
      </c>
      <c r="G97" s="42">
        <f t="shared" ref="G97:N97" si="129">G86+G90+G91+G93+G94+G95+G96+G89</f>
        <v>40463.466999999997</v>
      </c>
      <c r="H97" s="42">
        <f t="shared" si="129"/>
        <v>30004.809000000001</v>
      </c>
      <c r="I97" s="42">
        <f t="shared" ref="I97:L97" si="130">I86+I90+I91+I93+I94+I95+I96+I89</f>
        <v>25090.875</v>
      </c>
      <c r="J97" s="42">
        <f t="shared" si="130"/>
        <v>23388.939999999995</v>
      </c>
      <c r="K97" s="42">
        <f t="shared" si="130"/>
        <v>22206.589</v>
      </c>
      <c r="L97" s="42">
        <f t="shared" si="130"/>
        <v>31784.775000000001</v>
      </c>
      <c r="M97" s="42">
        <f t="shared" si="129"/>
        <v>28138.951999999994</v>
      </c>
      <c r="N97" s="42">
        <f t="shared" si="129"/>
        <v>132307.601</v>
      </c>
      <c r="O97" s="42">
        <f t="shared" si="114"/>
        <v>68770.805999999982</v>
      </c>
      <c r="P97" s="167">
        <f t="shared" si="115"/>
        <v>151.97797063828554</v>
      </c>
      <c r="Q97" s="42">
        <f>Q86+Q90+Q91+Q93+Q94+Q95+Q96+Q89</f>
        <v>124562.79849999999</v>
      </c>
      <c r="R97" s="42">
        <f t="shared" si="116"/>
        <v>76515.608499999988</v>
      </c>
      <c r="S97" s="167">
        <f t="shared" si="117"/>
        <v>161.42733578677587</v>
      </c>
      <c r="T97" s="167">
        <f t="shared" si="118"/>
        <v>94.165945875619244</v>
      </c>
      <c r="U97" s="42">
        <f>U86+U90+U91+U93+U94+U95+U96+U89</f>
        <v>157377.74299999999</v>
      </c>
      <c r="V97" s="79">
        <f t="shared" si="120"/>
        <v>43700.66399999999</v>
      </c>
      <c r="W97" s="80">
        <f>F97/U97*100</f>
        <v>127.76800783068798</v>
      </c>
    </row>
    <row r="98" spans="1:25" s="26" customFormat="1" ht="78" x14ac:dyDescent="0.25">
      <c r="A98" s="23">
        <v>1</v>
      </c>
      <c r="B98" s="53" t="s">
        <v>141</v>
      </c>
      <c r="C98" s="24" t="s">
        <v>69</v>
      </c>
      <c r="D98" s="113">
        <v>17390</v>
      </c>
      <c r="E98" s="113">
        <v>17390</v>
      </c>
      <c r="F98" s="118">
        <f t="shared" si="111"/>
        <v>16316.299000000001</v>
      </c>
      <c r="G98" s="113">
        <v>0</v>
      </c>
      <c r="H98" s="113">
        <v>0</v>
      </c>
      <c r="I98" s="113">
        <v>130.697</v>
      </c>
      <c r="J98" s="113">
        <v>0</v>
      </c>
      <c r="K98" s="113">
        <v>0</v>
      </c>
      <c r="L98" s="113">
        <v>16185.602000000001</v>
      </c>
      <c r="M98" s="113">
        <v>0</v>
      </c>
      <c r="N98" s="113">
        <v>17390</v>
      </c>
      <c r="O98" s="113">
        <f t="shared" si="114"/>
        <v>-1073.7009999999991</v>
      </c>
      <c r="P98" s="119">
        <f t="shared" si="115"/>
        <v>93.825756181713643</v>
      </c>
      <c r="Q98" s="113">
        <f>N98</f>
        <v>17390</v>
      </c>
      <c r="R98" s="113">
        <f t="shared" si="116"/>
        <v>-1073.7009999999991</v>
      </c>
      <c r="S98" s="119">
        <f t="shared" si="117"/>
        <v>93.825756181713643</v>
      </c>
      <c r="T98" s="119">
        <f t="shared" si="118"/>
        <v>93.825756181713643</v>
      </c>
      <c r="U98" s="118">
        <v>34000</v>
      </c>
      <c r="V98" s="107">
        <f t="shared" si="120"/>
        <v>-17683.701000000001</v>
      </c>
      <c r="W98" s="108">
        <f>F98/U98*100</f>
        <v>47.989114705882358</v>
      </c>
    </row>
    <row r="99" spans="1:25" s="26" customFormat="1" ht="39" x14ac:dyDescent="0.25">
      <c r="A99" s="23">
        <f>A98+1</f>
        <v>2</v>
      </c>
      <c r="B99" s="155" t="s">
        <v>173</v>
      </c>
      <c r="C99" s="130" t="s">
        <v>174</v>
      </c>
      <c r="D99" s="113">
        <v>0</v>
      </c>
      <c r="E99" s="113">
        <v>10260.334000000001</v>
      </c>
      <c r="F99" s="118">
        <f t="shared" si="111"/>
        <v>10260.334000000001</v>
      </c>
      <c r="G99" s="113">
        <v>0</v>
      </c>
      <c r="H99" s="113">
        <v>10260.334000000001</v>
      </c>
      <c r="I99" s="113">
        <v>0</v>
      </c>
      <c r="J99" s="113">
        <v>0</v>
      </c>
      <c r="K99" s="113">
        <v>0</v>
      </c>
      <c r="L99" s="113">
        <v>0</v>
      </c>
      <c r="M99" s="113">
        <v>0</v>
      </c>
      <c r="N99" s="113">
        <v>10260.334000000001</v>
      </c>
      <c r="O99" s="113">
        <f t="shared" ref="O99:O100" si="131">F99-N99</f>
        <v>0</v>
      </c>
      <c r="P99" s="119">
        <f t="shared" ref="P99:P100" si="132">F99/N99*100</f>
        <v>100</v>
      </c>
      <c r="Q99" s="113">
        <f>N99</f>
        <v>10260.334000000001</v>
      </c>
      <c r="R99" s="113">
        <f t="shared" ref="R99:R100" si="133">F99-Q99</f>
        <v>0</v>
      </c>
      <c r="S99" s="119">
        <f t="shared" ref="S99:S100" si="134">F99/Q99*100</f>
        <v>100</v>
      </c>
      <c r="T99" s="119">
        <f t="shared" ref="T99:T100" si="135">F99/E99*100</f>
        <v>100</v>
      </c>
      <c r="U99" s="118">
        <v>0</v>
      </c>
      <c r="V99" s="107">
        <f t="shared" si="120"/>
        <v>10260.334000000001</v>
      </c>
      <c r="W99" s="108"/>
    </row>
    <row r="100" spans="1:25" s="26" customFormat="1" ht="39" x14ac:dyDescent="0.25">
      <c r="A100" s="23">
        <v>3</v>
      </c>
      <c r="B100" s="53" t="s">
        <v>155</v>
      </c>
      <c r="C100" s="24" t="s">
        <v>156</v>
      </c>
      <c r="D100" s="113">
        <v>0</v>
      </c>
      <c r="E100" s="113">
        <v>32619.324000000001</v>
      </c>
      <c r="F100" s="118">
        <f t="shared" si="111"/>
        <v>32619.324000000001</v>
      </c>
      <c r="G100" s="113">
        <v>24369.562000000002</v>
      </c>
      <c r="H100" s="113">
        <v>0</v>
      </c>
      <c r="I100" s="113">
        <v>0</v>
      </c>
      <c r="J100" s="113">
        <v>0</v>
      </c>
      <c r="K100" s="113">
        <v>8249.7620000000006</v>
      </c>
      <c r="L100" s="113">
        <v>0</v>
      </c>
      <c r="M100" s="113">
        <v>0</v>
      </c>
      <c r="N100" s="113">
        <v>32619.324000000001</v>
      </c>
      <c r="O100" s="113">
        <f t="shared" si="131"/>
        <v>0</v>
      </c>
      <c r="P100" s="119">
        <f t="shared" si="132"/>
        <v>100</v>
      </c>
      <c r="Q100" s="186">
        <f>N100</f>
        <v>32619.324000000001</v>
      </c>
      <c r="R100" s="113">
        <f t="shared" si="133"/>
        <v>0</v>
      </c>
      <c r="S100" s="119">
        <f t="shared" si="134"/>
        <v>100</v>
      </c>
      <c r="T100" s="119">
        <f t="shared" si="135"/>
        <v>100</v>
      </c>
      <c r="U100" s="118">
        <v>0</v>
      </c>
      <c r="V100" s="107">
        <f t="shared" ref="V100" si="136">F100-U100</f>
        <v>32619.324000000001</v>
      </c>
      <c r="W100" s="108"/>
    </row>
    <row r="101" spans="1:25" s="43" customFormat="1" ht="31.5" customHeight="1" x14ac:dyDescent="0.3">
      <c r="A101" s="40"/>
      <c r="B101" s="44" t="s">
        <v>27</v>
      </c>
      <c r="C101" s="46"/>
      <c r="D101" s="42">
        <f t="shared" ref="D101:E101" si="137">D102+D105</f>
        <v>17390</v>
      </c>
      <c r="E101" s="42">
        <f t="shared" si="137"/>
        <v>60269.658000000003</v>
      </c>
      <c r="F101" s="42">
        <f>SUM(G101:M101)</f>
        <v>59195.957000000002</v>
      </c>
      <c r="G101" s="42">
        <f t="shared" ref="G101:H101" si="138">G102+G105</f>
        <v>24369.562000000002</v>
      </c>
      <c r="H101" s="42">
        <f t="shared" si="138"/>
        <v>10260.334000000001</v>
      </c>
      <c r="I101" s="42">
        <f t="shared" ref="I101:N101" si="139">I102+I105</f>
        <v>130.697</v>
      </c>
      <c r="J101" s="42">
        <f t="shared" si="139"/>
        <v>0</v>
      </c>
      <c r="K101" s="42">
        <f t="shared" si="139"/>
        <v>8249.7620000000006</v>
      </c>
      <c r="L101" s="42">
        <f t="shared" si="139"/>
        <v>16185.602000000001</v>
      </c>
      <c r="M101" s="42">
        <f t="shared" si="139"/>
        <v>0</v>
      </c>
      <c r="N101" s="42">
        <f t="shared" si="139"/>
        <v>60269.658000000003</v>
      </c>
      <c r="O101" s="42">
        <f t="shared" si="114"/>
        <v>-1073.7010000000009</v>
      </c>
      <c r="P101" s="167">
        <f t="shared" si="115"/>
        <v>98.218504906731013</v>
      </c>
      <c r="Q101" s="42">
        <f>Q102+Q105</f>
        <v>60269.658000000003</v>
      </c>
      <c r="R101" s="42">
        <f t="shared" si="116"/>
        <v>-1073.7010000000009</v>
      </c>
      <c r="S101" s="167">
        <f t="shared" si="117"/>
        <v>98.218504906731013</v>
      </c>
      <c r="T101" s="167">
        <f t="shared" si="118"/>
        <v>98.218504906731013</v>
      </c>
      <c r="U101" s="42">
        <f>U102+U105</f>
        <v>34000</v>
      </c>
      <c r="V101" s="79">
        <f t="shared" si="120"/>
        <v>25195.957000000002</v>
      </c>
      <c r="W101" s="80">
        <f t="shared" ref="W101:W103" si="140">F101/U101*100</f>
        <v>174.10575588235295</v>
      </c>
    </row>
    <row r="102" spans="1:25" s="163" customFormat="1" ht="36" customHeight="1" x14ac:dyDescent="0.25">
      <c r="A102" s="33"/>
      <c r="B102" s="161" t="s">
        <v>70</v>
      </c>
      <c r="C102" s="25"/>
      <c r="D102" s="49">
        <f>D103+D104</f>
        <v>17390</v>
      </c>
      <c r="E102" s="49">
        <f>E103+E104</f>
        <v>27650.334000000003</v>
      </c>
      <c r="F102" s="42">
        <f>SUM(G102:M102)</f>
        <v>26576.633000000002</v>
      </c>
      <c r="G102" s="49">
        <f t="shared" ref="G102:N102" si="141">G103+G104</f>
        <v>0</v>
      </c>
      <c r="H102" s="49">
        <f t="shared" si="141"/>
        <v>10260.334000000001</v>
      </c>
      <c r="I102" s="49">
        <f t="shared" si="141"/>
        <v>130.697</v>
      </c>
      <c r="J102" s="49">
        <f t="shared" si="141"/>
        <v>0</v>
      </c>
      <c r="K102" s="49">
        <f t="shared" ref="K102:L102" si="142">K103+K104</f>
        <v>0</v>
      </c>
      <c r="L102" s="49">
        <f t="shared" si="142"/>
        <v>16185.602000000001</v>
      </c>
      <c r="M102" s="49">
        <f t="shared" si="141"/>
        <v>0</v>
      </c>
      <c r="N102" s="49">
        <f t="shared" si="141"/>
        <v>27650.334000000003</v>
      </c>
      <c r="O102" s="49">
        <f t="shared" si="114"/>
        <v>-1073.7010000000009</v>
      </c>
      <c r="P102" s="162">
        <f t="shared" si="115"/>
        <v>96.116860649856889</v>
      </c>
      <c r="Q102" s="49">
        <f>Q103+Q104</f>
        <v>27650.334000000003</v>
      </c>
      <c r="R102" s="49">
        <f t="shared" si="116"/>
        <v>-1073.7010000000009</v>
      </c>
      <c r="S102" s="162">
        <f t="shared" si="117"/>
        <v>96.116860649856889</v>
      </c>
      <c r="T102" s="162">
        <f t="shared" si="118"/>
        <v>96.116860649856889</v>
      </c>
      <c r="U102" s="42">
        <f>U103+U104</f>
        <v>34000</v>
      </c>
      <c r="V102" s="83">
        <f t="shared" si="120"/>
        <v>-7423.3669999999984</v>
      </c>
      <c r="W102" s="84">
        <f t="shared" si="140"/>
        <v>78.166567647058827</v>
      </c>
    </row>
    <row r="103" spans="1:25" s="7" customFormat="1" ht="31.5" customHeight="1" x14ac:dyDescent="0.25">
      <c r="A103" s="13"/>
      <c r="B103" s="16" t="s">
        <v>96</v>
      </c>
      <c r="C103" s="16"/>
      <c r="D103" s="114">
        <f>D98</f>
        <v>17390</v>
      </c>
      <c r="E103" s="114">
        <f>E98</f>
        <v>17390</v>
      </c>
      <c r="F103" s="117">
        <f t="shared" si="111"/>
        <v>16316.299000000001</v>
      </c>
      <c r="G103" s="114">
        <f t="shared" ref="G103:N104" si="143">G98</f>
        <v>0</v>
      </c>
      <c r="H103" s="114">
        <f t="shared" si="143"/>
        <v>0</v>
      </c>
      <c r="I103" s="191">
        <f t="shared" ref="I103:L103" si="144">I98</f>
        <v>130.697</v>
      </c>
      <c r="J103" s="191">
        <f t="shared" si="144"/>
        <v>0</v>
      </c>
      <c r="K103" s="191">
        <f t="shared" si="144"/>
        <v>0</v>
      </c>
      <c r="L103" s="191">
        <f t="shared" si="144"/>
        <v>16185.602000000001</v>
      </c>
      <c r="M103" s="114">
        <f t="shared" si="143"/>
        <v>0</v>
      </c>
      <c r="N103" s="114">
        <f t="shared" si="143"/>
        <v>17390</v>
      </c>
      <c r="O103" s="114">
        <f t="shared" si="114"/>
        <v>-1073.7009999999991</v>
      </c>
      <c r="P103" s="169">
        <f t="shared" si="115"/>
        <v>93.825756181713643</v>
      </c>
      <c r="Q103" s="114">
        <f>Q98</f>
        <v>17390</v>
      </c>
      <c r="R103" s="114">
        <f t="shared" si="116"/>
        <v>-1073.7009999999991</v>
      </c>
      <c r="S103" s="169">
        <f t="shared" si="117"/>
        <v>93.825756181713643</v>
      </c>
      <c r="T103" s="169">
        <f t="shared" si="118"/>
        <v>93.825756181713643</v>
      </c>
      <c r="U103" s="117">
        <f>U98</f>
        <v>34000</v>
      </c>
      <c r="V103" s="111">
        <f t="shared" si="120"/>
        <v>-17683.701000000001</v>
      </c>
      <c r="W103" s="112">
        <f t="shared" si="140"/>
        <v>47.989114705882358</v>
      </c>
    </row>
    <row r="104" spans="1:25" s="7" customFormat="1" ht="31.5" customHeight="1" x14ac:dyDescent="0.25">
      <c r="A104" s="13"/>
      <c r="B104" s="154" t="s">
        <v>95</v>
      </c>
      <c r="C104" s="16"/>
      <c r="D104" s="114"/>
      <c r="E104" s="114">
        <f>E99</f>
        <v>10260.334000000001</v>
      </c>
      <c r="F104" s="117">
        <f t="shared" si="111"/>
        <v>10260.334000000001</v>
      </c>
      <c r="G104" s="114">
        <f t="shared" si="143"/>
        <v>0</v>
      </c>
      <c r="H104" s="114">
        <f t="shared" si="143"/>
        <v>10260.334000000001</v>
      </c>
      <c r="I104" s="191">
        <f t="shared" ref="I104:L104" si="145">I99</f>
        <v>0</v>
      </c>
      <c r="J104" s="191">
        <f t="shared" si="145"/>
        <v>0</v>
      </c>
      <c r="K104" s="191">
        <f t="shared" si="145"/>
        <v>0</v>
      </c>
      <c r="L104" s="191">
        <f t="shared" si="145"/>
        <v>0</v>
      </c>
      <c r="M104" s="114">
        <f t="shared" si="143"/>
        <v>0</v>
      </c>
      <c r="N104" s="114">
        <f>N99</f>
        <v>10260.334000000001</v>
      </c>
      <c r="O104" s="114">
        <f t="shared" si="114"/>
        <v>0</v>
      </c>
      <c r="P104" s="169">
        <f t="shared" si="115"/>
        <v>100</v>
      </c>
      <c r="Q104" s="114">
        <f>Q99</f>
        <v>10260.334000000001</v>
      </c>
      <c r="R104" s="114">
        <f t="shared" si="116"/>
        <v>0</v>
      </c>
      <c r="S104" s="169">
        <f t="shared" ref="S104" si="146">F104/Q104*100</f>
        <v>100</v>
      </c>
      <c r="T104" s="169">
        <f t="shared" ref="T104" si="147">F104/E104*100</f>
        <v>100</v>
      </c>
      <c r="U104" s="117">
        <v>0</v>
      </c>
      <c r="V104" s="111">
        <f t="shared" si="120"/>
        <v>10260.334000000001</v>
      </c>
      <c r="W104" s="112"/>
    </row>
    <row r="105" spans="1:25" s="163" customFormat="1" ht="58.5" x14ac:dyDescent="0.25">
      <c r="A105" s="33"/>
      <c r="B105" s="161" t="s">
        <v>198</v>
      </c>
      <c r="C105" s="25"/>
      <c r="D105" s="49">
        <f>D100</f>
        <v>0</v>
      </c>
      <c r="E105" s="49">
        <f>E100</f>
        <v>32619.324000000001</v>
      </c>
      <c r="F105" s="42">
        <f t="shared" si="111"/>
        <v>32619.324000000001</v>
      </c>
      <c r="G105" s="49">
        <f>G100</f>
        <v>24369.562000000002</v>
      </c>
      <c r="H105" s="49">
        <f t="shared" ref="H105:M105" si="148">H100</f>
        <v>0</v>
      </c>
      <c r="I105" s="49">
        <f t="shared" ref="I105:L105" si="149">I100</f>
        <v>0</v>
      </c>
      <c r="J105" s="49">
        <f t="shared" si="149"/>
        <v>0</v>
      </c>
      <c r="K105" s="49">
        <f t="shared" si="149"/>
        <v>8249.7620000000006</v>
      </c>
      <c r="L105" s="49">
        <f t="shared" si="149"/>
        <v>0</v>
      </c>
      <c r="M105" s="49">
        <f t="shared" si="148"/>
        <v>0</v>
      </c>
      <c r="N105" s="49">
        <f>N100</f>
        <v>32619.324000000001</v>
      </c>
      <c r="O105" s="49">
        <f t="shared" ref="O105" si="150">F105-N105</f>
        <v>0</v>
      </c>
      <c r="P105" s="162">
        <f t="shared" ref="P105" si="151">F105/N105*100</f>
        <v>100</v>
      </c>
      <c r="Q105" s="49">
        <f>Q100</f>
        <v>32619.324000000001</v>
      </c>
      <c r="R105" s="49">
        <f t="shared" ref="R105" si="152">F105-Q105</f>
        <v>0</v>
      </c>
      <c r="S105" s="162">
        <f t="shared" ref="S105" si="153">F105/Q105*100</f>
        <v>100</v>
      </c>
      <c r="T105" s="162">
        <f t="shared" ref="T105" si="154">F105/E105*100</f>
        <v>100</v>
      </c>
      <c r="U105" s="42"/>
      <c r="V105" s="83">
        <f t="shared" si="120"/>
        <v>32619.324000000001</v>
      </c>
      <c r="W105" s="84"/>
    </row>
    <row r="106" spans="1:25" s="139" customFormat="1" ht="39" customHeight="1" x14ac:dyDescent="0.3">
      <c r="A106" s="132"/>
      <c r="B106" s="133" t="s">
        <v>42</v>
      </c>
      <c r="C106" s="140"/>
      <c r="D106" s="135">
        <f>D97+D101</f>
        <v>230762.508</v>
      </c>
      <c r="E106" s="135">
        <f>E97+E101</f>
        <v>273805.88400000002</v>
      </c>
      <c r="F106" s="135">
        <f>SUM(G106:M106)</f>
        <v>260274.36399999997</v>
      </c>
      <c r="G106" s="135">
        <f>G97+G101</f>
        <v>64833.028999999995</v>
      </c>
      <c r="H106" s="135">
        <f t="shared" ref="H106:M106" si="155">H97+H101</f>
        <v>40265.143000000004</v>
      </c>
      <c r="I106" s="135">
        <f t="shared" ref="I106:L106" si="156">I97+I101</f>
        <v>25221.572</v>
      </c>
      <c r="J106" s="135">
        <f t="shared" si="156"/>
        <v>23388.939999999995</v>
      </c>
      <c r="K106" s="135">
        <f t="shared" si="156"/>
        <v>30456.351000000002</v>
      </c>
      <c r="L106" s="135">
        <f t="shared" si="156"/>
        <v>47970.377</v>
      </c>
      <c r="M106" s="135">
        <f t="shared" si="155"/>
        <v>28138.951999999994</v>
      </c>
      <c r="N106" s="135">
        <f t="shared" ref="N106" si="157">N97+N101</f>
        <v>192577.25899999999</v>
      </c>
      <c r="O106" s="135">
        <f t="shared" si="114"/>
        <v>67697.104999999981</v>
      </c>
      <c r="P106" s="170">
        <f t="shared" si="115"/>
        <v>135.15321868819413</v>
      </c>
      <c r="Q106" s="135">
        <f>Q97+Q101</f>
        <v>184832.4565</v>
      </c>
      <c r="R106" s="135">
        <f t="shared" si="116"/>
        <v>75441.907499999972</v>
      </c>
      <c r="S106" s="170">
        <f t="shared" si="117"/>
        <v>140.81637442285466</v>
      </c>
      <c r="T106" s="170">
        <f t="shared" si="118"/>
        <v>95.057987869975776</v>
      </c>
      <c r="U106" s="135">
        <f>U97+U101</f>
        <v>191377.74299999999</v>
      </c>
      <c r="V106" s="193">
        <f>F106-U106</f>
        <v>68896.620999999985</v>
      </c>
      <c r="W106" s="137">
        <f>F106/U106*100</f>
        <v>136.00033103117951</v>
      </c>
      <c r="X106" s="135">
        <v>191377.74299999999</v>
      </c>
      <c r="Y106" s="135">
        <f>X106-U106</f>
        <v>0</v>
      </c>
    </row>
    <row r="107" spans="1:25" s="12" customFormat="1" ht="26.25" customHeight="1" x14ac:dyDescent="0.25">
      <c r="A107" s="221" t="s">
        <v>41</v>
      </c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3"/>
    </row>
    <row r="108" spans="1:25" s="139" customFormat="1" ht="36" customHeight="1" x14ac:dyDescent="0.3">
      <c r="A108" s="141"/>
      <c r="B108" s="133" t="s">
        <v>149</v>
      </c>
      <c r="C108" s="140"/>
      <c r="D108" s="135">
        <f>D53+D97</f>
        <v>5433122.8850000007</v>
      </c>
      <c r="E108" s="135">
        <f>E53+E97</f>
        <v>5568652.7809999995</v>
      </c>
      <c r="F108" s="135">
        <f t="shared" si="111"/>
        <v>3390394.6340000001</v>
      </c>
      <c r="G108" s="135">
        <f t="shared" ref="G108:N108" si="158">G53+G97</f>
        <v>467209.30700000015</v>
      </c>
      <c r="H108" s="135">
        <f t="shared" si="158"/>
        <v>475494.32199999993</v>
      </c>
      <c r="I108" s="135">
        <f t="shared" si="158"/>
        <v>402796.54900000012</v>
      </c>
      <c r="J108" s="135">
        <f t="shared" si="158"/>
        <v>504565.35999999987</v>
      </c>
      <c r="K108" s="135">
        <f t="shared" si="158"/>
        <v>517199.76300000004</v>
      </c>
      <c r="L108" s="135">
        <f t="shared" ref="L108" si="159">L53+L97</f>
        <v>464660.72600000002</v>
      </c>
      <c r="M108" s="135">
        <f t="shared" si="158"/>
        <v>558468.60700000019</v>
      </c>
      <c r="N108" s="135">
        <f t="shared" si="158"/>
        <v>3221377.4619999998</v>
      </c>
      <c r="O108" s="135">
        <f t="shared" ref="O108:O121" si="160">F108-N108</f>
        <v>169017.17200000025</v>
      </c>
      <c r="P108" s="170">
        <f t="shared" ref="P108:P121" si="161">F108/N108*100</f>
        <v>105.246736031209</v>
      </c>
      <c r="Q108" s="135">
        <f>Q53+Q97</f>
        <v>3248380.788916667</v>
      </c>
      <c r="R108" s="135">
        <f t="shared" ref="R108:R121" si="162">F108-Q108</f>
        <v>142013.84508333309</v>
      </c>
      <c r="S108" s="170">
        <f t="shared" ref="S108:S121" si="163">F108/Q108*100</f>
        <v>104.37183490211117</v>
      </c>
      <c r="T108" s="170">
        <f t="shared" ref="T108:T121" si="164">F108/E108*100</f>
        <v>60.883570359564864</v>
      </c>
      <c r="U108" s="135">
        <f>U53+U97</f>
        <v>3228203.3479999998</v>
      </c>
      <c r="V108" s="136">
        <f>F108-U108</f>
        <v>162191.28600000031</v>
      </c>
      <c r="W108" s="137">
        <f>F108/U108*100</f>
        <v>105.02419669753718</v>
      </c>
    </row>
    <row r="109" spans="1:25" s="139" customFormat="1" ht="46.5" hidden="1" x14ac:dyDescent="0.3">
      <c r="A109" s="141"/>
      <c r="B109" s="133" t="s">
        <v>221</v>
      </c>
      <c r="C109" s="140"/>
      <c r="D109" s="135">
        <f>D108</f>
        <v>5433122.8850000007</v>
      </c>
      <c r="E109" s="135">
        <f>E108</f>
        <v>5568652.7809999995</v>
      </c>
      <c r="F109" s="135">
        <f t="shared" si="111"/>
        <v>3390394.6340000001</v>
      </c>
      <c r="G109" s="135">
        <f t="shared" ref="G109:N109" si="165">G108</f>
        <v>467209.30700000015</v>
      </c>
      <c r="H109" s="135">
        <f t="shared" si="165"/>
        <v>475494.32199999993</v>
      </c>
      <c r="I109" s="135">
        <f t="shared" si="165"/>
        <v>402796.54900000012</v>
      </c>
      <c r="J109" s="135">
        <f t="shared" si="165"/>
        <v>504565.35999999987</v>
      </c>
      <c r="K109" s="135">
        <f t="shared" ref="K109:L109" si="166">K108</f>
        <v>517199.76300000004</v>
      </c>
      <c r="L109" s="135">
        <f t="shared" si="166"/>
        <v>464660.72600000002</v>
      </c>
      <c r="M109" s="135">
        <f t="shared" si="165"/>
        <v>558468.60700000019</v>
      </c>
      <c r="N109" s="135">
        <f t="shared" si="165"/>
        <v>3221377.4619999998</v>
      </c>
      <c r="O109" s="135">
        <f t="shared" ref="O109" si="167">F109-N109</f>
        <v>169017.17200000025</v>
      </c>
      <c r="P109" s="170">
        <f t="shared" ref="P109" si="168">F109/N109*100</f>
        <v>105.246736031209</v>
      </c>
      <c r="Q109" s="135">
        <f>Q108</f>
        <v>3248380.788916667</v>
      </c>
      <c r="R109" s="135">
        <f t="shared" ref="R109" si="169">F109-Q109</f>
        <v>142013.84508333309</v>
      </c>
      <c r="S109" s="170">
        <f t="shared" ref="S109" si="170">F109/Q109*100</f>
        <v>104.37183490211117</v>
      </c>
      <c r="T109" s="170">
        <f t="shared" ref="T109" si="171">F109/E109*100</f>
        <v>60.883570359564864</v>
      </c>
      <c r="U109" s="135">
        <f>U97+U54</f>
        <v>2717364.7249999996</v>
      </c>
      <c r="V109" s="136">
        <f>F109-U109</f>
        <v>673029.90900000045</v>
      </c>
      <c r="W109" s="137">
        <f>F109/U109*100</f>
        <v>124.76774290944697</v>
      </c>
    </row>
    <row r="110" spans="1:25" s="30" customFormat="1" ht="22.5" x14ac:dyDescent="0.3">
      <c r="A110" s="157"/>
      <c r="B110" s="15"/>
      <c r="C110" s="25"/>
      <c r="D110" s="49"/>
      <c r="E110" s="49"/>
      <c r="F110" s="42"/>
      <c r="G110" s="49"/>
      <c r="H110" s="49"/>
      <c r="I110" s="49"/>
      <c r="J110" s="49"/>
      <c r="K110" s="49"/>
      <c r="L110" s="49"/>
      <c r="M110" s="49"/>
      <c r="N110" s="49"/>
      <c r="O110" s="49"/>
      <c r="P110" s="162"/>
      <c r="Q110" s="49"/>
      <c r="R110" s="49"/>
      <c r="S110" s="162"/>
      <c r="T110" s="162"/>
      <c r="U110" s="42"/>
      <c r="V110" s="83"/>
      <c r="W110" s="84"/>
    </row>
    <row r="111" spans="1:25" s="30" customFormat="1" ht="32.25" hidden="1" customHeight="1" x14ac:dyDescent="0.3">
      <c r="A111" s="157"/>
      <c r="B111" s="142" t="s">
        <v>66</v>
      </c>
      <c r="C111" s="25"/>
      <c r="D111" s="143"/>
      <c r="E111" s="143"/>
      <c r="F111" s="144">
        <f t="shared" si="111"/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/>
      <c r="O111" s="143">
        <f t="shared" si="160"/>
        <v>0</v>
      </c>
      <c r="P111" s="171"/>
      <c r="Q111" s="143"/>
      <c r="R111" s="143">
        <f t="shared" si="162"/>
        <v>0</v>
      </c>
      <c r="S111" s="171"/>
      <c r="T111" s="171"/>
      <c r="U111" s="144">
        <v>-226674</v>
      </c>
      <c r="V111" s="145">
        <f>F111-U111</f>
        <v>226674</v>
      </c>
      <c r="W111" s="146">
        <f>F111/U111*100</f>
        <v>0</v>
      </c>
    </row>
    <row r="112" spans="1:25" s="30" customFormat="1" ht="22.5" hidden="1" x14ac:dyDescent="0.3">
      <c r="A112" s="11"/>
      <c r="B112" s="15"/>
      <c r="C112" s="25"/>
      <c r="D112" s="49"/>
      <c r="E112" s="49"/>
      <c r="F112" s="42">
        <f t="shared" si="111"/>
        <v>0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162"/>
      <c r="Q112" s="49"/>
      <c r="R112" s="49"/>
      <c r="S112" s="162"/>
      <c r="T112" s="162"/>
      <c r="U112" s="42"/>
      <c r="V112" s="83"/>
      <c r="W112" s="84"/>
    </row>
    <row r="113" spans="1:25" s="43" customFormat="1" ht="37.5" customHeight="1" x14ac:dyDescent="0.3">
      <c r="A113" s="40"/>
      <c r="B113" s="44" t="s">
        <v>27</v>
      </c>
      <c r="C113" s="46"/>
      <c r="D113" s="42">
        <f>D114+D115+D116+D119</f>
        <v>921893.46699999995</v>
      </c>
      <c r="E113" s="42">
        <f>E114+E115+E116+E119</f>
        <v>1128942.6290000002</v>
      </c>
      <c r="F113" s="42">
        <f>SUM(G113:M113)</f>
        <v>726926.53200000001</v>
      </c>
      <c r="G113" s="42">
        <f>G114+G115+G116+G119</f>
        <v>89879.024000000005</v>
      </c>
      <c r="H113" s="42">
        <f t="shared" ref="H113:M113" si="172">H114+H115+H116+H119</f>
        <v>76455.286999999997</v>
      </c>
      <c r="I113" s="42">
        <f t="shared" ref="I113:L113" si="173">I114+I115+I116+I119</f>
        <v>70826.703999999998</v>
      </c>
      <c r="J113" s="42">
        <f t="shared" si="173"/>
        <v>81160.876000000004</v>
      </c>
      <c r="K113" s="42">
        <f t="shared" si="173"/>
        <v>87802.06</v>
      </c>
      <c r="L113" s="42">
        <f t="shared" si="173"/>
        <v>189567.19600000003</v>
      </c>
      <c r="M113" s="42">
        <f t="shared" si="172"/>
        <v>131235.38500000001</v>
      </c>
      <c r="N113" s="42">
        <f>N114+N115+N116+N119</f>
        <v>728181.66599999985</v>
      </c>
      <c r="O113" s="42">
        <f t="shared" si="160"/>
        <v>-1255.1339999998454</v>
      </c>
      <c r="P113" s="167">
        <f t="shared" si="161"/>
        <v>99.827634495812774</v>
      </c>
      <c r="Q113" s="42">
        <f>Q114+Q115+Q116+Q119</f>
        <v>623591.90599999996</v>
      </c>
      <c r="R113" s="42">
        <f t="shared" si="162"/>
        <v>103334.62600000005</v>
      </c>
      <c r="S113" s="167">
        <f t="shared" si="163"/>
        <v>116.57087351611651</v>
      </c>
      <c r="T113" s="167">
        <f t="shared" si="164"/>
        <v>64.390033056321045</v>
      </c>
      <c r="U113" s="42">
        <f>U114+U115+U116+U119</f>
        <v>608272.1540000001</v>
      </c>
      <c r="V113" s="79">
        <f t="shared" ref="V113:V122" si="174">F113-U113</f>
        <v>118654.37799999991</v>
      </c>
      <c r="W113" s="80">
        <f>F113/U113*100</f>
        <v>119.50679103419878</v>
      </c>
    </row>
    <row r="114" spans="1:25" s="50" customFormat="1" ht="37.5" customHeight="1" x14ac:dyDescent="0.3">
      <c r="A114" s="147"/>
      <c r="B114" s="142" t="s">
        <v>133</v>
      </c>
      <c r="C114" s="48"/>
      <c r="D114" s="49">
        <f>D77</f>
        <v>0</v>
      </c>
      <c r="E114" s="49">
        <f>E77</f>
        <v>0</v>
      </c>
      <c r="F114" s="42">
        <f t="shared" si="111"/>
        <v>0</v>
      </c>
      <c r="G114" s="49">
        <f t="shared" ref="G114:N115" si="175">G77</f>
        <v>0</v>
      </c>
      <c r="H114" s="49">
        <f t="shared" si="175"/>
        <v>0</v>
      </c>
      <c r="I114" s="49">
        <f t="shared" ref="I114:L114" si="176">I77</f>
        <v>0</v>
      </c>
      <c r="J114" s="49">
        <f t="shared" si="176"/>
        <v>0</v>
      </c>
      <c r="K114" s="49">
        <f t="shared" si="176"/>
        <v>0</v>
      </c>
      <c r="L114" s="49">
        <f t="shared" si="176"/>
        <v>0</v>
      </c>
      <c r="M114" s="49">
        <f t="shared" si="175"/>
        <v>0</v>
      </c>
      <c r="N114" s="49">
        <f t="shared" si="175"/>
        <v>0</v>
      </c>
      <c r="O114" s="49">
        <f t="shared" si="160"/>
        <v>0</v>
      </c>
      <c r="P114" s="162"/>
      <c r="Q114" s="49">
        <f>Q77</f>
        <v>0</v>
      </c>
      <c r="R114" s="49">
        <f t="shared" si="162"/>
        <v>0</v>
      </c>
      <c r="S114" s="162"/>
      <c r="T114" s="162"/>
      <c r="U114" s="42">
        <f>U77</f>
        <v>6414.1</v>
      </c>
      <c r="V114" s="83">
        <f t="shared" si="174"/>
        <v>-6414.1</v>
      </c>
      <c r="W114" s="84"/>
    </row>
    <row r="115" spans="1:25" s="50" customFormat="1" ht="44.25" customHeight="1" x14ac:dyDescent="0.3">
      <c r="A115" s="147"/>
      <c r="B115" s="142" t="s">
        <v>105</v>
      </c>
      <c r="C115" s="48"/>
      <c r="D115" s="49">
        <f>D78</f>
        <v>0</v>
      </c>
      <c r="E115" s="49">
        <f>E78</f>
        <v>4050.5970000000002</v>
      </c>
      <c r="F115" s="42">
        <f t="shared" si="111"/>
        <v>4050.5970000000002</v>
      </c>
      <c r="G115" s="49">
        <f t="shared" si="175"/>
        <v>0</v>
      </c>
      <c r="H115" s="49">
        <f t="shared" si="175"/>
        <v>561.92399999999998</v>
      </c>
      <c r="I115" s="49">
        <f t="shared" ref="I115:L115" si="177">I78</f>
        <v>0</v>
      </c>
      <c r="J115" s="49">
        <f t="shared" si="177"/>
        <v>1564.171</v>
      </c>
      <c r="K115" s="49">
        <f t="shared" si="177"/>
        <v>0</v>
      </c>
      <c r="L115" s="49">
        <f t="shared" si="177"/>
        <v>730.01800000000003</v>
      </c>
      <c r="M115" s="49">
        <f t="shared" si="175"/>
        <v>1194.4839999999999</v>
      </c>
      <c r="N115" s="49">
        <f t="shared" si="175"/>
        <v>4050.5970000000002</v>
      </c>
      <c r="O115" s="49">
        <f t="shared" si="160"/>
        <v>0</v>
      </c>
      <c r="P115" s="162">
        <f t="shared" si="161"/>
        <v>100</v>
      </c>
      <c r="Q115" s="49">
        <f>Q78</f>
        <v>4050.5970000000002</v>
      </c>
      <c r="R115" s="49">
        <f t="shared" si="162"/>
        <v>0</v>
      </c>
      <c r="S115" s="162">
        <f t="shared" ref="S115" si="178">F115/Q115*100</f>
        <v>100</v>
      </c>
      <c r="T115" s="162">
        <f t="shared" ref="T115" si="179">F115/E115*100</f>
        <v>100</v>
      </c>
      <c r="U115" s="42">
        <f>U78</f>
        <v>3201.0839999999998</v>
      </c>
      <c r="V115" s="83">
        <f t="shared" si="174"/>
        <v>849.51300000000037</v>
      </c>
      <c r="W115" s="84">
        <f>F115/U115*100</f>
        <v>126.53829140378699</v>
      </c>
    </row>
    <row r="116" spans="1:25" s="50" customFormat="1" ht="37.5" customHeight="1" x14ac:dyDescent="0.3">
      <c r="A116" s="147"/>
      <c r="B116" s="51" t="s">
        <v>70</v>
      </c>
      <c r="C116" s="48"/>
      <c r="D116" s="49">
        <f>D117+D118</f>
        <v>921893.46699999995</v>
      </c>
      <c r="E116" s="49">
        <f t="shared" ref="E116" si="180">E117+E118</f>
        <v>1092272.7080000001</v>
      </c>
      <c r="F116" s="42">
        <f t="shared" si="111"/>
        <v>690256.61100000003</v>
      </c>
      <c r="G116" s="49">
        <f t="shared" ref="G116:N116" si="181">G117+G118</f>
        <v>65509.462</v>
      </c>
      <c r="H116" s="49">
        <f t="shared" ref="H116:M116" si="182">H117+H118</f>
        <v>75893.362999999998</v>
      </c>
      <c r="I116" s="49">
        <f t="shared" ref="I116:L116" si="183">I117+I118</f>
        <v>70826.703999999998</v>
      </c>
      <c r="J116" s="49">
        <f t="shared" si="183"/>
        <v>79596.705000000002</v>
      </c>
      <c r="K116" s="49">
        <f t="shared" si="183"/>
        <v>79552.297999999995</v>
      </c>
      <c r="L116" s="49">
        <f t="shared" si="183"/>
        <v>188837.17800000001</v>
      </c>
      <c r="M116" s="49">
        <f t="shared" si="182"/>
        <v>130040.90100000001</v>
      </c>
      <c r="N116" s="49">
        <f t="shared" si="181"/>
        <v>691511.74499999988</v>
      </c>
      <c r="O116" s="49">
        <f t="shared" si="160"/>
        <v>-1255.1339999998454</v>
      </c>
      <c r="P116" s="162">
        <f t="shared" si="161"/>
        <v>99.818494189133418</v>
      </c>
      <c r="Q116" s="49">
        <f t="shared" ref="Q116" si="184">Q117+Q118</f>
        <v>586921.98499999999</v>
      </c>
      <c r="R116" s="49">
        <f t="shared" si="162"/>
        <v>103334.62600000005</v>
      </c>
      <c r="S116" s="162">
        <f t="shared" si="163"/>
        <v>117.60619445870648</v>
      </c>
      <c r="T116" s="162">
        <f t="shared" si="164"/>
        <v>63.194530628151512</v>
      </c>
      <c r="U116" s="42">
        <f t="shared" ref="U116" si="185">U117+U118</f>
        <v>598656.97000000009</v>
      </c>
      <c r="V116" s="83">
        <f t="shared" si="174"/>
        <v>91599.640999999945</v>
      </c>
      <c r="W116" s="84">
        <f>F116/U116*100</f>
        <v>115.30085601442173</v>
      </c>
    </row>
    <row r="117" spans="1:25" s="150" customFormat="1" ht="34.5" customHeight="1" x14ac:dyDescent="0.35">
      <c r="A117" s="148"/>
      <c r="B117" s="149" t="s">
        <v>96</v>
      </c>
      <c r="C117" s="149"/>
      <c r="D117" s="191">
        <f>D80+D103</f>
        <v>896476.1</v>
      </c>
      <c r="E117" s="191">
        <f>E80+E103</f>
        <v>897317.1</v>
      </c>
      <c r="F117" s="117">
        <f t="shared" si="111"/>
        <v>559757.69900000002</v>
      </c>
      <c r="G117" s="191">
        <f t="shared" ref="G117:N117" si="186">G80+G103</f>
        <v>63808.4</v>
      </c>
      <c r="H117" s="191">
        <f t="shared" si="186"/>
        <v>63802.3</v>
      </c>
      <c r="I117" s="191">
        <f t="shared" si="186"/>
        <v>68667.997000000003</v>
      </c>
      <c r="J117" s="191">
        <f t="shared" si="186"/>
        <v>77227.5</v>
      </c>
      <c r="K117" s="191">
        <f t="shared" ref="K117:L117" si="187">K80+K103</f>
        <v>77274.399999999994</v>
      </c>
      <c r="L117" s="191">
        <f t="shared" si="187"/>
        <v>184129.10200000001</v>
      </c>
      <c r="M117" s="191">
        <f t="shared" si="186"/>
        <v>24848</v>
      </c>
      <c r="N117" s="191">
        <f t="shared" si="186"/>
        <v>560831.39999999991</v>
      </c>
      <c r="O117" s="191">
        <f t="shared" si="160"/>
        <v>-1073.7009999998845</v>
      </c>
      <c r="P117" s="169">
        <f t="shared" si="161"/>
        <v>99.808551910609879</v>
      </c>
      <c r="Q117" s="191">
        <f>Q80+Q103</f>
        <v>560397.19999999995</v>
      </c>
      <c r="R117" s="191">
        <f t="shared" si="162"/>
        <v>-639.50099999993108</v>
      </c>
      <c r="S117" s="169">
        <f t="shared" si="163"/>
        <v>99.885884333469193</v>
      </c>
      <c r="T117" s="169">
        <f t="shared" si="164"/>
        <v>62.381258420239625</v>
      </c>
      <c r="U117" s="117">
        <f>U80+U103</f>
        <v>518291.40000000008</v>
      </c>
      <c r="V117" s="189">
        <f t="shared" si="174"/>
        <v>41466.298999999941</v>
      </c>
      <c r="W117" s="190">
        <f>F117/U117*100</f>
        <v>108.00057631672067</v>
      </c>
    </row>
    <row r="118" spans="1:25" s="150" customFormat="1" ht="34.5" customHeight="1" x14ac:dyDescent="0.35">
      <c r="A118" s="148"/>
      <c r="B118" s="149" t="s">
        <v>95</v>
      </c>
      <c r="C118" s="149"/>
      <c r="D118" s="191">
        <f>D104+D81</f>
        <v>25417.366999999998</v>
      </c>
      <c r="E118" s="191">
        <f>E104+E81</f>
        <v>194955.60800000001</v>
      </c>
      <c r="F118" s="117">
        <f t="shared" si="111"/>
        <v>130498.91200000001</v>
      </c>
      <c r="G118" s="191">
        <f t="shared" ref="G118:N118" si="188">G104+G81</f>
        <v>1701.0619999999999</v>
      </c>
      <c r="H118" s="191">
        <f t="shared" si="188"/>
        <v>12091.063</v>
      </c>
      <c r="I118" s="191">
        <f t="shared" si="188"/>
        <v>2158.7069999999999</v>
      </c>
      <c r="J118" s="191">
        <f t="shared" si="188"/>
        <v>2369.2049999999999</v>
      </c>
      <c r="K118" s="191">
        <f t="shared" ref="K118:L118" si="189">K104+K81</f>
        <v>2277.8980000000001</v>
      </c>
      <c r="L118" s="191">
        <f t="shared" si="189"/>
        <v>4708.0760000000009</v>
      </c>
      <c r="M118" s="191">
        <f t="shared" si="188"/>
        <v>105192.90100000001</v>
      </c>
      <c r="N118" s="191">
        <f t="shared" si="188"/>
        <v>130680.345</v>
      </c>
      <c r="O118" s="191">
        <f t="shared" si="160"/>
        <v>-181.43299999998999</v>
      </c>
      <c r="P118" s="169">
        <f t="shared" si="161"/>
        <v>99.861162747925107</v>
      </c>
      <c r="Q118" s="191">
        <f>Q104+Q81</f>
        <v>26524.785000000003</v>
      </c>
      <c r="R118" s="191">
        <f t="shared" si="162"/>
        <v>103974.12700000001</v>
      </c>
      <c r="S118" s="169">
        <f t="shared" si="163"/>
        <v>491.98857596772223</v>
      </c>
      <c r="T118" s="169">
        <f t="shared" si="164"/>
        <v>66.93775744065799</v>
      </c>
      <c r="U118" s="117">
        <f>U104+U81</f>
        <v>80365.569999999992</v>
      </c>
      <c r="V118" s="189">
        <f t="shared" si="174"/>
        <v>50133.342000000019</v>
      </c>
      <c r="W118" s="190">
        <f>F118/U118*100</f>
        <v>162.38161690385576</v>
      </c>
    </row>
    <row r="119" spans="1:25" s="163" customFormat="1" ht="70.5" customHeight="1" x14ac:dyDescent="0.25">
      <c r="A119" s="33"/>
      <c r="B119" s="161" t="s">
        <v>198</v>
      </c>
      <c r="C119" s="25"/>
      <c r="D119" s="49">
        <f>D105</f>
        <v>0</v>
      </c>
      <c r="E119" s="49">
        <f>E105</f>
        <v>32619.324000000001</v>
      </c>
      <c r="F119" s="42">
        <f t="shared" ref="F119" si="190">SUM(G119:M119)</f>
        <v>32619.324000000001</v>
      </c>
      <c r="G119" s="49">
        <f t="shared" ref="G119:N119" si="191">G105</f>
        <v>24369.562000000002</v>
      </c>
      <c r="H119" s="49">
        <f t="shared" si="191"/>
        <v>0</v>
      </c>
      <c r="I119" s="49">
        <f t="shared" ref="I119:L119" si="192">I105</f>
        <v>0</v>
      </c>
      <c r="J119" s="49">
        <f t="shared" si="192"/>
        <v>0</v>
      </c>
      <c r="K119" s="49">
        <f t="shared" si="192"/>
        <v>8249.7620000000006</v>
      </c>
      <c r="L119" s="49">
        <f t="shared" si="192"/>
        <v>0</v>
      </c>
      <c r="M119" s="49">
        <f t="shared" si="191"/>
        <v>0</v>
      </c>
      <c r="N119" s="49">
        <f t="shared" si="191"/>
        <v>32619.324000000001</v>
      </c>
      <c r="O119" s="49">
        <f t="shared" si="160"/>
        <v>0</v>
      </c>
      <c r="P119" s="162">
        <f t="shared" si="161"/>
        <v>100</v>
      </c>
      <c r="Q119" s="192">
        <f t="shared" ref="Q119" si="193">Q105</f>
        <v>32619.324000000001</v>
      </c>
      <c r="R119" s="49">
        <f t="shared" si="162"/>
        <v>0</v>
      </c>
      <c r="S119" s="162">
        <f t="shared" si="163"/>
        <v>100</v>
      </c>
      <c r="T119" s="162">
        <f t="shared" si="164"/>
        <v>100</v>
      </c>
      <c r="U119" s="42">
        <f t="shared" ref="U119" si="194">U105</f>
        <v>0</v>
      </c>
      <c r="V119" s="83">
        <f t="shared" si="174"/>
        <v>32619.324000000001</v>
      </c>
      <c r="W119" s="84"/>
    </row>
    <row r="120" spans="1:25" x14ac:dyDescent="0.2">
      <c r="A120" s="196"/>
      <c r="B120" s="196"/>
      <c r="C120" s="196"/>
      <c r="D120" s="196"/>
      <c r="E120" s="196"/>
      <c r="F120" s="197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7"/>
      <c r="V120" s="198"/>
      <c r="W120" s="196"/>
    </row>
    <row r="121" spans="1:25" s="139" customFormat="1" ht="55.5" customHeight="1" x14ac:dyDescent="0.3">
      <c r="A121" s="141"/>
      <c r="B121" s="133" t="s">
        <v>120</v>
      </c>
      <c r="C121" s="140"/>
      <c r="D121" s="135">
        <f>D108+D113</f>
        <v>6355016.3520000009</v>
      </c>
      <c r="E121" s="135">
        <f>E108+E113</f>
        <v>6697595.4100000001</v>
      </c>
      <c r="F121" s="135">
        <f t="shared" si="111"/>
        <v>4117321.1660000007</v>
      </c>
      <c r="G121" s="135">
        <f t="shared" ref="G121:N121" si="195">G108+G113</f>
        <v>557088.33100000012</v>
      </c>
      <c r="H121" s="135">
        <f t="shared" si="195"/>
        <v>551949.60899999994</v>
      </c>
      <c r="I121" s="135">
        <f t="shared" si="195"/>
        <v>473623.25300000014</v>
      </c>
      <c r="J121" s="135">
        <f t="shared" si="195"/>
        <v>585726.23599999992</v>
      </c>
      <c r="K121" s="135">
        <f t="shared" ref="K121:L121" si="196">K108+K113</f>
        <v>605001.82300000009</v>
      </c>
      <c r="L121" s="135">
        <f t="shared" si="196"/>
        <v>654227.92200000002</v>
      </c>
      <c r="M121" s="135">
        <f t="shared" si="195"/>
        <v>689703.9920000002</v>
      </c>
      <c r="N121" s="135">
        <f t="shared" si="195"/>
        <v>3949559.1279999996</v>
      </c>
      <c r="O121" s="135">
        <f t="shared" si="160"/>
        <v>167762.03800000111</v>
      </c>
      <c r="P121" s="170">
        <f t="shared" si="161"/>
        <v>104.24761429220464</v>
      </c>
      <c r="Q121" s="135">
        <f>Q108+Q113</f>
        <v>3871972.694916667</v>
      </c>
      <c r="R121" s="135">
        <f t="shared" si="162"/>
        <v>245348.47108333372</v>
      </c>
      <c r="S121" s="170">
        <f t="shared" si="163"/>
        <v>106.33652379329639</v>
      </c>
      <c r="T121" s="170">
        <f t="shared" si="164"/>
        <v>61.474617589658209</v>
      </c>
      <c r="U121" s="135">
        <f>U108+U113</f>
        <v>3836475.5019999999</v>
      </c>
      <c r="V121" s="136">
        <f t="shared" si="174"/>
        <v>280845.6640000008</v>
      </c>
      <c r="W121" s="137">
        <f>F121/U121*100</f>
        <v>107.32040811556315</v>
      </c>
      <c r="X121" s="195">
        <v>3836475.5020000003</v>
      </c>
      <c r="Y121" s="135">
        <f>X121-U121</f>
        <v>0</v>
      </c>
    </row>
    <row r="122" spans="1:25" s="139" customFormat="1" ht="69.75" hidden="1" x14ac:dyDescent="0.3">
      <c r="A122" s="141"/>
      <c r="B122" s="133" t="s">
        <v>222</v>
      </c>
      <c r="C122" s="140"/>
      <c r="D122" s="135">
        <f>D121</f>
        <v>6355016.3520000009</v>
      </c>
      <c r="E122" s="135">
        <f>E121</f>
        <v>6697595.4100000001</v>
      </c>
      <c r="F122" s="135">
        <f t="shared" si="111"/>
        <v>4117321.1660000007</v>
      </c>
      <c r="G122" s="135">
        <f t="shared" ref="G122:N122" si="197">G121</f>
        <v>557088.33100000012</v>
      </c>
      <c r="H122" s="135">
        <f t="shared" si="197"/>
        <v>551949.60899999994</v>
      </c>
      <c r="I122" s="135">
        <f t="shared" si="197"/>
        <v>473623.25300000014</v>
      </c>
      <c r="J122" s="135">
        <f t="shared" si="197"/>
        <v>585726.23599999992</v>
      </c>
      <c r="K122" s="135">
        <f t="shared" ref="K122:L122" si="198">K121</f>
        <v>605001.82300000009</v>
      </c>
      <c r="L122" s="135">
        <f t="shared" si="198"/>
        <v>654227.92200000002</v>
      </c>
      <c r="M122" s="135">
        <f t="shared" si="197"/>
        <v>689703.9920000002</v>
      </c>
      <c r="N122" s="135">
        <f t="shared" si="197"/>
        <v>3949559.1279999996</v>
      </c>
      <c r="O122" s="135">
        <f t="shared" ref="O122" si="199">F122-N122</f>
        <v>167762.03800000111</v>
      </c>
      <c r="P122" s="170">
        <f t="shared" ref="P122" si="200">F122/N122*100</f>
        <v>104.24761429220464</v>
      </c>
      <c r="Q122" s="135">
        <f>Q121</f>
        <v>3871972.694916667</v>
      </c>
      <c r="R122" s="135">
        <f t="shared" ref="R122" si="201">F122-Q122</f>
        <v>245348.47108333372</v>
      </c>
      <c r="S122" s="170">
        <f t="shared" ref="S122" si="202">F122/Q122*100</f>
        <v>106.33652379329639</v>
      </c>
      <c r="T122" s="170">
        <f t="shared" ref="T122" si="203">F122/E122*100</f>
        <v>61.474617589658209</v>
      </c>
      <c r="U122" s="135">
        <f>U106+U84</f>
        <v>3325636.8789999997</v>
      </c>
      <c r="V122" s="136">
        <f t="shared" si="174"/>
        <v>791684.28700000094</v>
      </c>
      <c r="W122" s="137">
        <f>F122/U122*100</f>
        <v>123.80549397918801</v>
      </c>
      <c r="X122" s="195"/>
      <c r="Y122" s="135"/>
    </row>
    <row r="123" spans="1:25" s="14" customFormat="1" ht="150" customHeight="1" x14ac:dyDescent="0.4">
      <c r="A123" s="34"/>
      <c r="B123" s="216" t="s">
        <v>150</v>
      </c>
      <c r="C123" s="216"/>
      <c r="D123" s="216"/>
      <c r="E123" s="21"/>
      <c r="F123" s="21" t="s">
        <v>194</v>
      </c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85"/>
      <c r="W123" s="86"/>
    </row>
    <row r="124" spans="1:25" s="7" customFormat="1" ht="18" customHeight="1" x14ac:dyDescent="0.45">
      <c r="A124" s="6"/>
      <c r="B124" s="29" t="s">
        <v>52</v>
      </c>
      <c r="C124" s="18"/>
      <c r="D124" s="18"/>
      <c r="E124" s="1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87"/>
      <c r="W124" s="88"/>
    </row>
    <row r="125" spans="1:25" s="7" customFormat="1" ht="30.75" hidden="1" x14ac:dyDescent="0.45">
      <c r="A125" s="6"/>
      <c r="B125" s="18"/>
      <c r="C125" s="18"/>
      <c r="D125" s="18"/>
      <c r="E125" s="124"/>
      <c r="F125" s="5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52"/>
      <c r="V125" s="87"/>
      <c r="W125" s="88"/>
    </row>
    <row r="126" spans="1:25" s="4" customFormat="1" ht="30.75" hidden="1" customHeight="1" x14ac:dyDescent="0.45">
      <c r="A126" s="27"/>
      <c r="B126" s="18"/>
      <c r="C126" s="18"/>
      <c r="D126" s="102">
        <v>6355016.352</v>
      </c>
      <c r="E126" s="102">
        <v>6697595.4100000001</v>
      </c>
      <c r="F126" s="58">
        <v>4117321.1660000002</v>
      </c>
      <c r="G126" s="103"/>
      <c r="H126" s="103"/>
      <c r="I126" s="103"/>
      <c r="J126" s="103"/>
      <c r="K126" s="103"/>
      <c r="L126" s="103"/>
      <c r="M126" s="103"/>
      <c r="N126" s="58">
        <v>3949559.128</v>
      </c>
      <c r="O126" s="103"/>
      <c r="P126" s="103"/>
      <c r="Q126" s="103"/>
      <c r="R126" s="103"/>
      <c r="S126" s="103"/>
      <c r="T126" s="103"/>
      <c r="U126" s="58"/>
      <c r="V126" s="5"/>
    </row>
    <row r="127" spans="1:25" ht="12" hidden="1" customHeight="1" x14ac:dyDescent="0.45">
      <c r="B127" s="29"/>
      <c r="C127" s="20"/>
      <c r="D127" s="20"/>
      <c r="E127" s="20"/>
      <c r="F127" s="52"/>
      <c r="G127" s="20"/>
      <c r="H127" s="20"/>
      <c r="I127" s="20"/>
      <c r="J127" s="20"/>
      <c r="K127" s="20"/>
      <c r="L127" s="20"/>
      <c r="M127" s="20"/>
      <c r="N127" s="52"/>
      <c r="O127" s="20"/>
      <c r="P127" s="20"/>
      <c r="Q127" s="20"/>
      <c r="R127" s="20"/>
      <c r="S127" s="20"/>
      <c r="T127" s="20"/>
      <c r="U127" s="52"/>
    </row>
    <row r="128" spans="1:25" s="2" customFormat="1" ht="30.75" hidden="1" customHeight="1" x14ac:dyDescent="0.45">
      <c r="A128" s="28"/>
      <c r="B128" s="18"/>
      <c r="C128" s="18"/>
      <c r="D128" s="18"/>
      <c r="E128" s="18"/>
      <c r="F128" s="52"/>
      <c r="G128" s="20"/>
      <c r="H128" s="20"/>
      <c r="I128" s="20"/>
      <c r="J128" s="20"/>
      <c r="K128" s="20"/>
      <c r="L128" s="20"/>
      <c r="M128" s="20"/>
      <c r="N128" s="52"/>
      <c r="O128" s="20"/>
      <c r="P128" s="20"/>
      <c r="Q128" s="20"/>
      <c r="R128" s="20"/>
      <c r="S128" s="20"/>
      <c r="T128" s="20"/>
      <c r="U128" s="52"/>
      <c r="V128" s="158"/>
    </row>
    <row r="129" spans="1:48" s="2" customFormat="1" ht="30.75" hidden="1" customHeight="1" x14ac:dyDescent="0.45">
      <c r="A129" s="28"/>
      <c r="B129" s="18"/>
      <c r="C129" s="18"/>
      <c r="D129" s="18"/>
      <c r="E129" s="18"/>
      <c r="F129" s="52"/>
      <c r="G129" s="20"/>
      <c r="H129" s="20"/>
      <c r="I129" s="20"/>
      <c r="J129" s="20"/>
      <c r="K129" s="20"/>
      <c r="L129" s="20"/>
      <c r="M129" s="20"/>
      <c r="N129" s="52"/>
      <c r="O129" s="20"/>
      <c r="P129" s="20"/>
      <c r="Q129" s="20"/>
      <c r="R129" s="20"/>
      <c r="S129" s="20"/>
      <c r="T129" s="20"/>
      <c r="U129" s="52"/>
      <c r="V129" s="158"/>
    </row>
    <row r="130" spans="1:48" s="2" customFormat="1" ht="16.5" hidden="1" customHeight="1" x14ac:dyDescent="0.45">
      <c r="A130" s="28"/>
      <c r="B130" s="29"/>
      <c r="C130" s="20"/>
      <c r="D130" s="20"/>
      <c r="E130" s="20"/>
      <c r="F130" s="52"/>
      <c r="G130" s="20"/>
      <c r="H130" s="20"/>
      <c r="I130" s="20"/>
      <c r="J130" s="20"/>
      <c r="K130" s="20"/>
      <c r="L130" s="20"/>
      <c r="M130" s="20"/>
      <c r="N130" s="52"/>
      <c r="O130" s="20"/>
      <c r="P130" s="20"/>
      <c r="Q130" s="20"/>
      <c r="R130" s="20"/>
      <c r="S130" s="20"/>
      <c r="T130" s="20"/>
      <c r="U130" s="52"/>
      <c r="V130" s="158"/>
    </row>
    <row r="131" spans="1:48" ht="18.75" hidden="1" x14ac:dyDescent="0.3">
      <c r="B131" s="27"/>
      <c r="D131" s="102">
        <f>D126-D121</f>
        <v>0</v>
      </c>
      <c r="E131" s="102">
        <f>E126-E121</f>
        <v>0</v>
      </c>
      <c r="F131" s="102">
        <f>F126-F121</f>
        <v>0</v>
      </c>
      <c r="G131" s="31"/>
      <c r="H131" s="31"/>
      <c r="I131" s="31"/>
      <c r="J131" s="31"/>
      <c r="K131" s="31"/>
      <c r="L131" s="31"/>
      <c r="M131" s="31"/>
      <c r="N131" s="102">
        <f>N122-N126</f>
        <v>0</v>
      </c>
      <c r="O131" s="31"/>
      <c r="P131" s="31"/>
      <c r="Q131" s="31"/>
      <c r="R131" s="31"/>
      <c r="S131" s="31"/>
      <c r="T131" s="31"/>
      <c r="U131" s="102"/>
    </row>
    <row r="132" spans="1:48" ht="18.75" hidden="1" x14ac:dyDescent="0.3">
      <c r="B132" s="27"/>
      <c r="D132" s="58"/>
      <c r="E132" s="58">
        <v>6485577.7259999998</v>
      </c>
      <c r="F132" s="58">
        <v>3427617.1740000001</v>
      </c>
    </row>
    <row r="133" spans="1:48" ht="18.75" hidden="1" x14ac:dyDescent="0.3">
      <c r="B133" s="27"/>
      <c r="D133" s="102"/>
      <c r="E133" s="102">
        <f>E132-E121</f>
        <v>-212017.68400000036</v>
      </c>
      <c r="F133" s="102">
        <f>F132-F121</f>
        <v>-689703.99200000055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102"/>
    </row>
    <row r="134" spans="1:48" ht="18.75" hidden="1" x14ac:dyDescent="0.3">
      <c r="B134" s="4"/>
      <c r="C134" s="3"/>
      <c r="D134" s="3"/>
      <c r="E134" s="3"/>
      <c r="F134" s="3"/>
      <c r="O134" s="217" t="s">
        <v>49</v>
      </c>
      <c r="P134" s="217"/>
      <c r="Q134" s="176">
        <f>E53/12*7</f>
        <v>3123817.9904166665</v>
      </c>
      <c r="U134" s="3"/>
    </row>
    <row r="135" spans="1:48" ht="22.5" hidden="1" x14ac:dyDescent="0.3">
      <c r="B135" s="4"/>
      <c r="C135" s="3"/>
      <c r="D135" s="3"/>
      <c r="E135" s="125"/>
      <c r="F135" s="125"/>
      <c r="O135" s="158"/>
      <c r="P135" s="158"/>
      <c r="Q135" s="176">
        <f>Q134-Q53</f>
        <v>0</v>
      </c>
      <c r="U135" s="125"/>
    </row>
    <row r="136" spans="1:48" ht="18.75" hidden="1" x14ac:dyDescent="0.3">
      <c r="B136" s="4"/>
      <c r="C136" s="3"/>
      <c r="D136" s="3"/>
      <c r="E136" s="3"/>
      <c r="O136" s="217" t="s">
        <v>50</v>
      </c>
      <c r="P136" s="217"/>
      <c r="Q136" s="177">
        <f>E97/12*7</f>
        <v>124562.7985</v>
      </c>
    </row>
    <row r="137" spans="1:48" ht="18.75" hidden="1" x14ac:dyDescent="0.3">
      <c r="B137" s="4"/>
      <c r="C137" s="3"/>
      <c r="D137" s="3"/>
      <c r="E137" s="3"/>
      <c r="O137" s="158"/>
      <c r="P137" s="158"/>
      <c r="Q137" s="176">
        <f>Q136-Q97</f>
        <v>0</v>
      </c>
      <c r="R137" s="3" t="s">
        <v>187</v>
      </c>
    </row>
    <row r="138" spans="1:48" ht="18.75" hidden="1" x14ac:dyDescent="0.3">
      <c r="B138" s="127"/>
      <c r="C138" s="3"/>
      <c r="D138" s="3"/>
      <c r="E138" s="3"/>
      <c r="O138" s="217" t="s">
        <v>51</v>
      </c>
      <c r="P138" s="217"/>
      <c r="Q138" s="176">
        <f>Q136+Q101</f>
        <v>184832.4565</v>
      </c>
    </row>
    <row r="139" spans="1:48" ht="18.75" hidden="1" x14ac:dyDescent="0.3">
      <c r="B139" s="4"/>
      <c r="C139" s="3"/>
      <c r="D139" s="3"/>
      <c r="E139" s="3"/>
      <c r="O139" s="158"/>
      <c r="P139" s="158"/>
      <c r="Q139" s="176">
        <f>Q138-Q106</f>
        <v>0</v>
      </c>
    </row>
    <row r="140" spans="1:48" s="19" customFormat="1" ht="18.75" hidden="1" x14ac:dyDescent="0.3">
      <c r="B140" s="4"/>
      <c r="C140" s="3"/>
      <c r="D140" s="3"/>
      <c r="E140" s="3"/>
      <c r="F140" s="3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1"/>
      <c r="V140" s="1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s="19" customFormat="1" ht="18.75" hidden="1" x14ac:dyDescent="0.3">
      <c r="B141" s="4"/>
      <c r="C141" s="3"/>
      <c r="D141" s="3"/>
      <c r="E141" s="103"/>
      <c r="F141" s="12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128"/>
      <c r="V141" s="1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s="19" customFormat="1" ht="18.75" hidden="1" x14ac:dyDescent="0.3">
      <c r="B142" s="4"/>
      <c r="C142" s="3"/>
      <c r="D142" s="129"/>
      <c r="E142" s="3"/>
      <c r="F142" s="3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1"/>
      <c r="V142" s="1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s="19" customFormat="1" ht="18.75" hidden="1" x14ac:dyDescent="0.3">
      <c r="B143" s="4"/>
      <c r="C143" s="3"/>
      <c r="D143" s="3"/>
      <c r="E143" s="3"/>
      <c r="F143" s="3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1"/>
      <c r="V143" s="1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s="19" customFormat="1" ht="22.5" hidden="1" x14ac:dyDescent="0.3">
      <c r="B144" s="4"/>
      <c r="C144" s="3"/>
      <c r="D144" s="126"/>
      <c r="E144" s="3"/>
      <c r="F144" s="3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1"/>
      <c r="V144" s="1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2:48" s="19" customFormat="1" ht="18.75" hidden="1" x14ac:dyDescent="0.3">
      <c r="B145" s="4"/>
      <c r="C145" s="3"/>
      <c r="D145" s="3"/>
      <c r="E145" s="3"/>
      <c r="F145" s="12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128"/>
      <c r="V145" s="1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2:48" s="19" customFormat="1" ht="18.75" hidden="1" x14ac:dyDescent="0.3">
      <c r="B146" s="4"/>
      <c r="C146" s="3"/>
      <c r="D146" s="3"/>
      <c r="E146" s="3"/>
      <c r="F146" s="3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1"/>
      <c r="V146" s="1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2:48" s="19" customFormat="1" ht="18.75" hidden="1" x14ac:dyDescent="0.3">
      <c r="B147" s="4"/>
      <c r="C147" s="3"/>
      <c r="D147" s="3"/>
      <c r="E147" s="3"/>
      <c r="F147" s="3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1"/>
      <c r="V147" s="1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2:48" s="19" customFormat="1" ht="18.75" hidden="1" x14ac:dyDescent="0.3">
      <c r="B148" s="27"/>
      <c r="F148" s="3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1"/>
      <c r="V148" s="1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2:48" s="19" customFormat="1" ht="18.75" x14ac:dyDescent="0.3">
      <c r="B149" s="27"/>
      <c r="F149" s="3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1"/>
      <c r="V149" s="1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</sheetData>
  <mergeCells count="37">
    <mergeCell ref="B123:D123"/>
    <mergeCell ref="O134:P134"/>
    <mergeCell ref="O136:P136"/>
    <mergeCell ref="O138:P138"/>
    <mergeCell ref="C17:C19"/>
    <mergeCell ref="C25:C27"/>
    <mergeCell ref="A53:C53"/>
    <mergeCell ref="A54:C54"/>
    <mergeCell ref="A107:W107"/>
    <mergeCell ref="A85:W85"/>
    <mergeCell ref="A6:W6"/>
    <mergeCell ref="A7:A9"/>
    <mergeCell ref="B9:C9"/>
    <mergeCell ref="P3:P4"/>
    <mergeCell ref="Q3:Q4"/>
    <mergeCell ref="R3:R4"/>
    <mergeCell ref="S3:S4"/>
    <mergeCell ref="T3:T4"/>
    <mergeCell ref="U3:U4"/>
    <mergeCell ref="H3:H4"/>
    <mergeCell ref="I3:I4"/>
    <mergeCell ref="K3:K4"/>
    <mergeCell ref="A1:W1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M3:M4"/>
    <mergeCell ref="V3:V4"/>
    <mergeCell ref="W3:W4"/>
    <mergeCell ref="J3:J4"/>
    <mergeCell ref="L3:L4"/>
  </mergeCells>
  <printOptions horizontalCentered="1"/>
  <pageMargins left="0.39370078740157483" right="0" top="0" bottom="0" header="0.23622047244094491" footer="0.11811023622047245"/>
  <pageSetup paperSize="8" scale="55" fitToHeight="10" orientation="landscape" horizontalDpi="300" verticalDpi="300" r:id="rId1"/>
  <headerFooter alignWithMargins="0"/>
  <rowBreaks count="1" manualBreakCount="1">
    <brk id="100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7 місяців 2024</vt:lpstr>
      <vt:lpstr>'7 місяців 2024'!Заголовки_для_друку</vt:lpstr>
      <vt:lpstr>'7 місяців 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2024-08-22T11:15:28Z</cp:lastPrinted>
  <dcterms:created xsi:type="dcterms:W3CDTF">1996-10-08T23:32:33Z</dcterms:created>
  <dcterms:modified xsi:type="dcterms:W3CDTF">2024-08-22T11:15:34Z</dcterms:modified>
</cp:coreProperties>
</file>